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H:\DFE\FEADER\0. FEADER-23-27\02-DVPT-DURABLE\00_Dispositifs\O2_IAE\03_IAE_2026\01_AAP\05_VersionDiffusable\"/>
    </mc:Choice>
  </mc:AlternateContent>
  <xr:revisionPtr revIDLastSave="0" documentId="13_ncr:1_{F452E394-D9C6-47A5-B73F-D27BF7A0661D}" xr6:coauthVersionLast="47" xr6:coauthVersionMax="47" xr10:uidLastSave="{00000000-0000-0000-0000-000000000000}"/>
  <bookViews>
    <workbookView xWindow="28680" yWindow="-240" windowWidth="29040" windowHeight="15720" tabRatio="791" xr2:uid="{00000000-000D-0000-FFFF-FFFF00000000}"/>
  </bookViews>
  <sheets>
    <sheet name="Barèmes" sheetId="6" r:id="rId1"/>
    <sheet name="SYNTHESE" sheetId="13" r:id="rId2"/>
    <sheet name="calcul haies" sheetId="15" state="hidden" r:id="rId3"/>
    <sheet name="calcul AIP" sheetId="16" state="hidden" r:id="rId4"/>
    <sheet name="calcul BOS" sheetId="18" state="hidden" r:id="rId5"/>
    <sheet name="calcul RMA" sheetId="24" state="hidden" r:id="rId6"/>
    <sheet name="calcul RNA" sheetId="19" state="hidden" r:id="rId7"/>
    <sheet name="calcul BEM" sheetId="20" state="hidden" r:id="rId8"/>
    <sheet name="calcul fascines" sheetId="22" state="hidden" r:id="rId9"/>
    <sheet name="calcul CMA" sheetId="23" state="hidden" r:id="rId10"/>
    <sheet name="calcul RMU" sheetId="26" state="hidden" r:id="rId11"/>
  </sheets>
  <definedNames>
    <definedName name="_xlnm.Print_Area" localSheetId="0">Barèmes!$A$2:$S$12</definedName>
    <definedName name="_xlnm.Print_Area" localSheetId="1">SYNTHESE!$A$1:$N$70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2" i="18" l="1"/>
  <c r="K16" i="18"/>
  <c r="K15" i="18"/>
  <c r="K14" i="18"/>
  <c r="K13" i="18"/>
  <c r="F72" i="13" l="1"/>
  <c r="F73" i="13"/>
  <c r="F74" i="13"/>
  <c r="F75" i="13"/>
  <c r="L25" i="19"/>
  <c r="L26" i="19"/>
  <c r="L28" i="19"/>
  <c r="Q22" i="16"/>
  <c r="Q23" i="16"/>
  <c r="Q24" i="16"/>
  <c r="Q25" i="16"/>
  <c r="I74" i="6"/>
  <c r="O44" i="13" l="1"/>
  <c r="N24" i="16" l="1"/>
  <c r="C24" i="16"/>
  <c r="A11" i="26" l="1"/>
  <c r="B11" i="26" s="1"/>
  <c r="A12" i="26"/>
  <c r="C12" i="26" s="1"/>
  <c r="A13" i="26"/>
  <c r="C13" i="26" s="1"/>
  <c r="A14" i="26"/>
  <c r="C14" i="26" s="1"/>
  <c r="A15" i="26"/>
  <c r="C15" i="26" s="1"/>
  <c r="A10" i="26"/>
  <c r="C10" i="26" s="1"/>
  <c r="D159" i="13"/>
  <c r="A11" i="24"/>
  <c r="B11" i="24" s="1"/>
  <c r="A12" i="24"/>
  <c r="B12" i="24" s="1"/>
  <c r="A13" i="24"/>
  <c r="B13" i="24" s="1"/>
  <c r="A14" i="24"/>
  <c r="B14" i="24" s="1"/>
  <c r="C14" i="24" s="1"/>
  <c r="A10" i="24"/>
  <c r="B10" i="24" s="1"/>
  <c r="O24" i="16"/>
  <c r="B15" i="26" l="1"/>
  <c r="D10" i="26"/>
  <c r="B14" i="26"/>
  <c r="B13" i="26"/>
  <c r="B10" i="26"/>
  <c r="B12" i="26"/>
  <c r="C11" i="26"/>
  <c r="A12" i="22"/>
  <c r="A13" i="22"/>
  <c r="A14" i="22"/>
  <c r="A15" i="22"/>
  <c r="A16" i="22"/>
  <c r="A21" i="24" l="1"/>
  <c r="B21" i="24"/>
  <c r="C21" i="24" s="1"/>
  <c r="A22" i="24"/>
  <c r="B22" i="24"/>
  <c r="C22" i="24" s="1"/>
  <c r="D22" i="24" s="1"/>
  <c r="A23" i="24"/>
  <c r="D23" i="24" s="1"/>
  <c r="B23" i="24"/>
  <c r="C23" i="24" s="1"/>
  <c r="A24" i="24"/>
  <c r="D24" i="24" s="1"/>
  <c r="B24" i="24"/>
  <c r="C24" i="24" s="1"/>
  <c r="A25" i="24"/>
  <c r="D25" i="24" s="1"/>
  <c r="B25" i="24"/>
  <c r="C25" i="24" s="1"/>
  <c r="B20" i="24"/>
  <c r="A20" i="24"/>
  <c r="A21" i="23"/>
  <c r="B21" i="23"/>
  <c r="A22" i="23"/>
  <c r="B22" i="23"/>
  <c r="A23" i="23"/>
  <c r="B23" i="23"/>
  <c r="A24" i="23"/>
  <c r="B24" i="23"/>
  <c r="D24" i="23" s="1"/>
  <c r="A25" i="23"/>
  <c r="B25" i="23"/>
  <c r="B20" i="23"/>
  <c r="A20" i="23"/>
  <c r="A11" i="23"/>
  <c r="B11" i="23"/>
  <c r="D11" i="23" s="1"/>
  <c r="A12" i="23"/>
  <c r="B12" i="23"/>
  <c r="D12" i="23" s="1"/>
  <c r="A13" i="23"/>
  <c r="B13" i="23"/>
  <c r="D13" i="23" s="1"/>
  <c r="A14" i="23"/>
  <c r="B14" i="23"/>
  <c r="B10" i="23"/>
  <c r="A10" i="23"/>
  <c r="B12" i="22"/>
  <c r="B13" i="22"/>
  <c r="B14" i="22"/>
  <c r="B15" i="22"/>
  <c r="B16" i="22"/>
  <c r="B11" i="22"/>
  <c r="A11" i="22"/>
  <c r="C11" i="22" s="1"/>
  <c r="D25" i="23" l="1"/>
  <c r="C25" i="23"/>
  <c r="D21" i="24"/>
  <c r="C22" i="23"/>
  <c r="D22" i="23"/>
  <c r="D23" i="23"/>
  <c r="C23" i="23"/>
  <c r="D21" i="23"/>
  <c r="C21" i="23"/>
  <c r="I24" i="16"/>
  <c r="A17" i="19" l="1"/>
  <c r="A28" i="19" s="1"/>
  <c r="B17" i="19" l="1"/>
  <c r="C17" i="19"/>
  <c r="F17" i="19" s="1"/>
  <c r="G17" i="19" l="1"/>
  <c r="B28" i="19"/>
  <c r="K17" i="19"/>
  <c r="D17" i="19"/>
  <c r="I17" i="19" s="1"/>
  <c r="J26" i="13"/>
  <c r="D15" i="26"/>
  <c r="D14" i="26"/>
  <c r="D171" i="13" s="1"/>
  <c r="D13" i="26"/>
  <c r="D170" i="13" s="1"/>
  <c r="D12" i="26"/>
  <c r="D169" i="13" s="1"/>
  <c r="J25" i="13"/>
  <c r="C119" i="13"/>
  <c r="E17" i="19" l="1"/>
  <c r="H17" i="19"/>
  <c r="F28" i="19" s="1"/>
  <c r="I28" i="19"/>
  <c r="M28" i="19"/>
  <c r="G28" i="19"/>
  <c r="O28" i="19"/>
  <c r="N28" i="19"/>
  <c r="J28" i="19"/>
  <c r="C28" i="19"/>
  <c r="D28" i="19"/>
  <c r="D167" i="13"/>
  <c r="D11" i="26"/>
  <c r="J22" i="13"/>
  <c r="D13" i="22"/>
  <c r="D116" i="13" s="1"/>
  <c r="D14" i="22"/>
  <c r="D117" i="13" s="1"/>
  <c r="D15" i="22"/>
  <c r="D118" i="13" s="1"/>
  <c r="D16" i="22"/>
  <c r="C12" i="22"/>
  <c r="D12" i="22" s="1"/>
  <c r="D115" i="13" s="1"/>
  <c r="C13" i="22"/>
  <c r="C14" i="22"/>
  <c r="C15" i="22"/>
  <c r="C16" i="22"/>
  <c r="P24" i="16"/>
  <c r="M24" i="16"/>
  <c r="E24" i="16"/>
  <c r="L24" i="16"/>
  <c r="K24" i="16"/>
  <c r="H24" i="16"/>
  <c r="G24" i="16"/>
  <c r="F24" i="16"/>
  <c r="K28" i="19" l="1"/>
  <c r="J17" i="19"/>
  <c r="H28" i="19" s="1"/>
  <c r="E28" i="19" s="1"/>
  <c r="D168" i="13"/>
  <c r="D172" i="13" s="1"/>
  <c r="E26" i="13" s="1"/>
  <c r="D16" i="26"/>
  <c r="E25" i="13"/>
  <c r="D11" i="22"/>
  <c r="P28" i="19" l="1"/>
  <c r="M91" i="13" s="1"/>
  <c r="D17" i="22"/>
  <c r="E22" i="13" s="1"/>
  <c r="D114" i="13"/>
  <c r="D119" i="13" s="1"/>
  <c r="E56" i="6"/>
  <c r="E58" i="6" l="1"/>
  <c r="E57" i="6"/>
  <c r="E54" i="6" l="1"/>
  <c r="J24" i="13" l="1"/>
  <c r="J23" i="13"/>
  <c r="C10" i="24" l="1"/>
  <c r="C10" i="23"/>
  <c r="D10" i="23" s="1"/>
  <c r="C20" i="23" s="1"/>
  <c r="C12" i="24"/>
  <c r="C13" i="23"/>
  <c r="C11" i="23"/>
  <c r="C11" i="24"/>
  <c r="C14" i="23"/>
  <c r="D14" i="23" s="1"/>
  <c r="C24" i="23" s="1"/>
  <c r="C12" i="23"/>
  <c r="D14" i="24"/>
  <c r="C13" i="24"/>
  <c r="D10" i="24" l="1"/>
  <c r="C20" i="24" s="1"/>
  <c r="D20" i="24" s="1"/>
  <c r="D26" i="24" s="1"/>
  <c r="D13" i="24"/>
  <c r="D143" i="13" s="1"/>
  <c r="D12" i="24"/>
  <c r="D142" i="13" s="1"/>
  <c r="D11" i="24"/>
  <c r="D141" i="13" s="1"/>
  <c r="D144" i="13"/>
  <c r="D20" i="23"/>
  <c r="D26" i="23" s="1"/>
  <c r="E55" i="6"/>
  <c r="D129" i="13" l="1"/>
  <c r="D131" i="13"/>
  <c r="D130" i="13"/>
  <c r="D128" i="13"/>
  <c r="E72" i="6"/>
  <c r="I72" i="6" s="1"/>
  <c r="E71" i="6"/>
  <c r="I71" i="6" s="1"/>
  <c r="E70" i="6"/>
  <c r="I70" i="6" s="1"/>
  <c r="F15" i="6"/>
  <c r="J20" i="13"/>
  <c r="J17" i="13"/>
  <c r="D127" i="13" l="1"/>
  <c r="D132" i="13" s="1"/>
  <c r="E23" i="13" s="1"/>
  <c r="A15" i="20" l="1"/>
  <c r="A16" i="20"/>
  <c r="A17" i="20"/>
  <c r="A18" i="20"/>
  <c r="A19" i="20"/>
  <c r="E19" i="20" s="1"/>
  <c r="C18" i="20" l="1"/>
  <c r="E18" i="20" s="1"/>
  <c r="F18" i="20" s="1"/>
  <c r="E104" i="13" s="1"/>
  <c r="C19" i="20"/>
  <c r="F19" i="20"/>
  <c r="C17" i="20"/>
  <c r="E17" i="20" s="1"/>
  <c r="F17" i="20" s="1"/>
  <c r="E103" i="13" s="1"/>
  <c r="C16" i="20"/>
  <c r="D15" i="20"/>
  <c r="C15" i="20"/>
  <c r="D19" i="20"/>
  <c r="D18" i="20"/>
  <c r="D17" i="20"/>
  <c r="D16" i="20"/>
  <c r="B16" i="20"/>
  <c r="B15" i="20"/>
  <c r="B19" i="20"/>
  <c r="B17" i="20"/>
  <c r="B18" i="20"/>
  <c r="E15" i="20" l="1"/>
  <c r="F15" i="20" s="1"/>
  <c r="E101" i="13" s="1"/>
  <c r="E16" i="20"/>
  <c r="F16" i="20" s="1"/>
  <c r="E102" i="13" s="1"/>
  <c r="M17" i="19"/>
  <c r="N17" i="19"/>
  <c r="O17" i="19"/>
  <c r="A14" i="20" l="1"/>
  <c r="C14" i="20" l="1"/>
  <c r="E14" i="20" s="1"/>
  <c r="D14" i="20"/>
  <c r="J21" i="13" s="1"/>
  <c r="B14" i="20"/>
  <c r="F14" i="20" l="1"/>
  <c r="F20" i="20" s="1"/>
  <c r="A13" i="19"/>
  <c r="A24" i="19" s="1"/>
  <c r="A14" i="19"/>
  <c r="A25" i="19" s="1"/>
  <c r="A15" i="19"/>
  <c r="A26" i="19" s="1"/>
  <c r="A16" i="19"/>
  <c r="A12" i="19"/>
  <c r="A13" i="18"/>
  <c r="A14" i="18"/>
  <c r="A15" i="18"/>
  <c r="A16" i="18"/>
  <c r="A12" i="18"/>
  <c r="A27" i="19" l="1"/>
  <c r="E100" i="13"/>
  <c r="E105" i="13" s="1"/>
  <c r="E21" i="13" s="1"/>
  <c r="C12" i="19"/>
  <c r="C15" i="19"/>
  <c r="C14" i="19"/>
  <c r="C16" i="19"/>
  <c r="C13" i="19"/>
  <c r="B14" i="19"/>
  <c r="B13" i="19"/>
  <c r="A23" i="19"/>
  <c r="B27" i="19"/>
  <c r="L27" i="19" s="1"/>
  <c r="B15" i="18"/>
  <c r="J15" i="18" s="1"/>
  <c r="B12" i="18"/>
  <c r="B14" i="18"/>
  <c r="A23" i="18"/>
  <c r="B16" i="18"/>
  <c r="B15" i="19"/>
  <c r="B12" i="19"/>
  <c r="B13" i="18"/>
  <c r="A24" i="18"/>
  <c r="A26" i="18"/>
  <c r="A22" i="18"/>
  <c r="A25" i="18"/>
  <c r="E75" i="6"/>
  <c r="I75" i="6" s="1"/>
  <c r="J16" i="19" l="1"/>
  <c r="E13" i="19"/>
  <c r="D12" i="19"/>
  <c r="E12" i="19" s="1"/>
  <c r="L30" i="19" a="1"/>
  <c r="L30" i="19" s="1"/>
  <c r="F16" i="19"/>
  <c r="G16" i="19"/>
  <c r="D13" i="19"/>
  <c r="B24" i="19"/>
  <c r="L24" i="19" s="1"/>
  <c r="J27" i="19"/>
  <c r="O27" i="19"/>
  <c r="N27" i="19"/>
  <c r="D14" i="19"/>
  <c r="K14" i="19" s="1"/>
  <c r="B25" i="19"/>
  <c r="D15" i="19"/>
  <c r="E15" i="19" s="1"/>
  <c r="B26" i="19"/>
  <c r="G12" i="19"/>
  <c r="D16" i="19"/>
  <c r="K16" i="19" s="1"/>
  <c r="G15" i="19"/>
  <c r="F15" i="19"/>
  <c r="G13" i="19"/>
  <c r="F13" i="19"/>
  <c r="G14" i="19"/>
  <c r="F14" i="19"/>
  <c r="F12" i="19"/>
  <c r="B25" i="18"/>
  <c r="D25" i="18" s="1"/>
  <c r="C16" i="18"/>
  <c r="F16" i="18" s="1"/>
  <c r="E16" i="18"/>
  <c r="D16" i="18"/>
  <c r="G16" i="18" s="1"/>
  <c r="B26" i="18"/>
  <c r="C26" i="18" s="1"/>
  <c r="E12" i="18"/>
  <c r="D12" i="18"/>
  <c r="I16" i="18"/>
  <c r="C14" i="18"/>
  <c r="F14" i="18" s="1"/>
  <c r="E14" i="18"/>
  <c r="D14" i="18"/>
  <c r="C13" i="18"/>
  <c r="F13" i="18" s="1"/>
  <c r="E13" i="18"/>
  <c r="D13" i="18"/>
  <c r="C15" i="18"/>
  <c r="F15" i="18" s="1"/>
  <c r="E15" i="18"/>
  <c r="D15" i="18"/>
  <c r="I15" i="18"/>
  <c r="J16" i="18"/>
  <c r="I12" i="18"/>
  <c r="J12" i="18"/>
  <c r="H12" i="18"/>
  <c r="H16" i="19"/>
  <c r="F27" i="19" s="1"/>
  <c r="H13" i="19"/>
  <c r="B22" i="18"/>
  <c r="J14" i="18"/>
  <c r="H16" i="18"/>
  <c r="H14" i="18"/>
  <c r="I14" i="18"/>
  <c r="B24" i="18"/>
  <c r="H15" i="18"/>
  <c r="K15" i="19"/>
  <c r="B23" i="19"/>
  <c r="L23" i="19" s="1"/>
  <c r="J13" i="18"/>
  <c r="I13" i="18"/>
  <c r="H13" i="18"/>
  <c r="B23" i="18"/>
  <c r="J18" i="13"/>
  <c r="K12" i="19" l="1"/>
  <c r="F12" i="18"/>
  <c r="G12" i="18" s="1"/>
  <c r="K12" i="18"/>
  <c r="I27" i="19"/>
  <c r="M27" i="19"/>
  <c r="K27" i="19" s="1"/>
  <c r="I16" i="19"/>
  <c r="G27" i="19" s="1"/>
  <c r="H27" i="19"/>
  <c r="E27" i="19" s="1"/>
  <c r="E16" i="19"/>
  <c r="J26" i="18"/>
  <c r="I12" i="19"/>
  <c r="G23" i="19" s="1"/>
  <c r="E14" i="19"/>
  <c r="I24" i="19"/>
  <c r="I26" i="19"/>
  <c r="I23" i="19"/>
  <c r="C25" i="19"/>
  <c r="I25" i="19"/>
  <c r="C24" i="19"/>
  <c r="L29" i="19"/>
  <c r="J24" i="19"/>
  <c r="D27" i="19"/>
  <c r="C27" i="19"/>
  <c r="I26" i="18"/>
  <c r="F24" i="19"/>
  <c r="O23" i="19"/>
  <c r="N23" i="19"/>
  <c r="M23" i="19"/>
  <c r="J23" i="19"/>
  <c r="N26" i="19"/>
  <c r="J26" i="19"/>
  <c r="C26" i="19"/>
  <c r="O26" i="19"/>
  <c r="N25" i="19"/>
  <c r="O25" i="19"/>
  <c r="D25" i="19"/>
  <c r="M24" i="19"/>
  <c r="N24" i="19"/>
  <c r="O24" i="19"/>
  <c r="D24" i="19"/>
  <c r="M26" i="19"/>
  <c r="D26" i="19"/>
  <c r="M25" i="19"/>
  <c r="J25" i="19"/>
  <c r="C23" i="18"/>
  <c r="F23" i="18" s="1"/>
  <c r="C22" i="18"/>
  <c r="F22" i="18" s="1"/>
  <c r="I13" i="19"/>
  <c r="G24" i="19" s="1"/>
  <c r="G15" i="18"/>
  <c r="C25" i="18"/>
  <c r="F25" i="18" s="1"/>
  <c r="I25" i="18"/>
  <c r="E25" i="18"/>
  <c r="H25" i="18"/>
  <c r="J25" i="18"/>
  <c r="K25" i="18" s="1"/>
  <c r="G25" i="18"/>
  <c r="I15" i="19"/>
  <c r="G26" i="19" s="1"/>
  <c r="H15" i="19"/>
  <c r="F26" i="19" s="1"/>
  <c r="H12" i="19"/>
  <c r="F23" i="19" s="1"/>
  <c r="K13" i="19"/>
  <c r="G14" i="18"/>
  <c r="G24" i="18"/>
  <c r="I14" i="19"/>
  <c r="G25" i="19" s="1"/>
  <c r="H14" i="19"/>
  <c r="F25" i="19" s="1"/>
  <c r="I24" i="18"/>
  <c r="C24" i="18"/>
  <c r="F24" i="18" s="1"/>
  <c r="G13" i="18"/>
  <c r="E23" i="18"/>
  <c r="H24" i="18"/>
  <c r="J19" i="13"/>
  <c r="J22" i="18"/>
  <c r="E22" i="18"/>
  <c r="E24" i="18"/>
  <c r="J24" i="18"/>
  <c r="F26" i="18"/>
  <c r="E26" i="18"/>
  <c r="G26" i="18"/>
  <c r="H26" i="18"/>
  <c r="H22" i="18"/>
  <c r="I22" i="18"/>
  <c r="G22" i="18"/>
  <c r="D26" i="18"/>
  <c r="K26" i="18" s="1"/>
  <c r="G23" i="18"/>
  <c r="C23" i="19"/>
  <c r="D23" i="19"/>
  <c r="J23" i="18"/>
  <c r="I23" i="18"/>
  <c r="H23" i="18"/>
  <c r="P27" i="19" l="1"/>
  <c r="M90" i="13" s="1"/>
  <c r="K24" i="19"/>
  <c r="K26" i="19"/>
  <c r="K25" i="19"/>
  <c r="J15" i="19"/>
  <c r="H26" i="19" s="1"/>
  <c r="E26" i="19" s="1"/>
  <c r="J13" i="19"/>
  <c r="J14" i="19"/>
  <c r="H25" i="19" s="1"/>
  <c r="E25" i="19" s="1"/>
  <c r="J12" i="19"/>
  <c r="H23" i="19" s="1"/>
  <c r="D24" i="18"/>
  <c r="K24" i="18" s="1"/>
  <c r="D22" i="18"/>
  <c r="D23" i="18"/>
  <c r="P26" i="19" l="1"/>
  <c r="M89" i="13" s="1"/>
  <c r="H24" i="19"/>
  <c r="E24" i="19" s="1"/>
  <c r="P24" i="19" s="1"/>
  <c r="M87" i="13" s="1"/>
  <c r="P25" i="19"/>
  <c r="M88" i="13" s="1"/>
  <c r="E23" i="19"/>
  <c r="K23" i="19" l="1"/>
  <c r="K23" i="18"/>
  <c r="P23" i="19" l="1"/>
  <c r="M57" i="13"/>
  <c r="M58" i="13"/>
  <c r="M59" i="13"/>
  <c r="P29" i="19" l="1"/>
  <c r="M86" i="13"/>
  <c r="M92" i="13" s="1"/>
  <c r="E20" i="13" s="1"/>
  <c r="C10" i="16"/>
  <c r="C11" i="16"/>
  <c r="C12" i="16"/>
  <c r="C13" i="16"/>
  <c r="C14" i="16"/>
  <c r="B11" i="16"/>
  <c r="B12" i="16"/>
  <c r="B13" i="16"/>
  <c r="B14" i="16"/>
  <c r="B10" i="16"/>
  <c r="B14" i="13"/>
  <c r="A11" i="16"/>
  <c r="A12" i="16"/>
  <c r="A13" i="16"/>
  <c r="A14" i="16"/>
  <c r="A10" i="16"/>
  <c r="A15" i="15"/>
  <c r="B15" i="15"/>
  <c r="B11" i="15"/>
  <c r="B12" i="15"/>
  <c r="B13" i="15"/>
  <c r="B14" i="15"/>
  <c r="B10" i="15"/>
  <c r="J10" i="15" s="1"/>
  <c r="A11" i="15"/>
  <c r="A12" i="15"/>
  <c r="A13" i="15"/>
  <c r="A14" i="15"/>
  <c r="A10" i="15"/>
  <c r="O10" i="15" s="1"/>
  <c r="P10" i="15" l="1"/>
  <c r="J15" i="15"/>
  <c r="N15" i="15"/>
  <c r="S15" i="15"/>
  <c r="G13" i="16"/>
  <c r="J13" i="16"/>
  <c r="Q15" i="15"/>
  <c r="O15" i="15"/>
  <c r="P15" i="15" s="1"/>
  <c r="G12" i="16"/>
  <c r="J12" i="16"/>
  <c r="L14" i="16"/>
  <c r="K14" i="16"/>
  <c r="L13" i="16"/>
  <c r="K13" i="16"/>
  <c r="G14" i="16"/>
  <c r="J14" i="16"/>
  <c r="L12" i="16"/>
  <c r="K12" i="16"/>
  <c r="G11" i="16"/>
  <c r="J11" i="16"/>
  <c r="L10" i="16"/>
  <c r="K10" i="16"/>
  <c r="G10" i="16"/>
  <c r="J10" i="16"/>
  <c r="L11" i="16"/>
  <c r="K11" i="16"/>
  <c r="J12" i="15"/>
  <c r="S12" i="15"/>
  <c r="N12" i="15"/>
  <c r="O14" i="15"/>
  <c r="P14" i="15" s="1"/>
  <c r="J11" i="15"/>
  <c r="S11" i="15"/>
  <c r="N11" i="15"/>
  <c r="O13" i="15"/>
  <c r="P13" i="15" s="1"/>
  <c r="J14" i="15"/>
  <c r="N14" i="15"/>
  <c r="S14" i="15"/>
  <c r="P12" i="15"/>
  <c r="O12" i="15"/>
  <c r="J13" i="15"/>
  <c r="S13" i="15"/>
  <c r="N13" i="15"/>
  <c r="O11" i="15"/>
  <c r="P11" i="15" s="1"/>
  <c r="I14" i="16"/>
  <c r="I11" i="16"/>
  <c r="I13" i="16"/>
  <c r="I12" i="16"/>
  <c r="I14" i="15"/>
  <c r="I15" i="15"/>
  <c r="I13" i="15"/>
  <c r="I10" i="16"/>
  <c r="I12" i="15"/>
  <c r="I11" i="15"/>
  <c r="A26" i="15"/>
  <c r="B23" i="15"/>
  <c r="M23" i="15" s="1"/>
  <c r="H12" i="15"/>
  <c r="H11" i="15"/>
  <c r="B22" i="15"/>
  <c r="B26" i="15"/>
  <c r="D11" i="15"/>
  <c r="A22" i="15"/>
  <c r="C11" i="15"/>
  <c r="Q11" i="15" s="1"/>
  <c r="C13" i="15"/>
  <c r="R13" i="15" s="1"/>
  <c r="D13" i="15"/>
  <c r="A24" i="15"/>
  <c r="A25" i="15"/>
  <c r="C14" i="15"/>
  <c r="Q14" i="15" s="1"/>
  <c r="D14" i="15"/>
  <c r="B25" i="15"/>
  <c r="H14" i="15"/>
  <c r="C10" i="15"/>
  <c r="L10" i="15" s="1"/>
  <c r="D10" i="15"/>
  <c r="D12" i="15"/>
  <c r="A23" i="15"/>
  <c r="C12" i="15"/>
  <c r="Q12" i="15" s="1"/>
  <c r="B24" i="15"/>
  <c r="H13" i="15"/>
  <c r="H15" i="15"/>
  <c r="D15" i="15"/>
  <c r="C15" i="15"/>
  <c r="K15" i="15" s="1"/>
  <c r="F10" i="16"/>
  <c r="E10" i="16"/>
  <c r="D10" i="16"/>
  <c r="D11" i="16"/>
  <c r="E11" i="16"/>
  <c r="E14" i="16"/>
  <c r="D14" i="16"/>
  <c r="F13" i="16"/>
  <c r="E13" i="16"/>
  <c r="D13" i="16"/>
  <c r="F12" i="16"/>
  <c r="E12" i="16"/>
  <c r="D12" i="16"/>
  <c r="A21" i="15"/>
  <c r="H10" i="15"/>
  <c r="B21" i="15"/>
  <c r="M21" i="15" s="1"/>
  <c r="H13" i="16"/>
  <c r="H12" i="16"/>
  <c r="H11" i="16"/>
  <c r="H14" i="16"/>
  <c r="A25" i="16"/>
  <c r="F14" i="16"/>
  <c r="A21" i="16"/>
  <c r="F11" i="16"/>
  <c r="M12" i="16"/>
  <c r="N10" i="15"/>
  <c r="M14" i="16"/>
  <c r="M13" i="16"/>
  <c r="M11" i="16"/>
  <c r="B22" i="16"/>
  <c r="C22" i="16" s="1"/>
  <c r="M10" i="16"/>
  <c r="B25" i="16"/>
  <c r="C25" i="16" s="1"/>
  <c r="A20" i="16"/>
  <c r="B20" i="16"/>
  <c r="A22" i="16"/>
  <c r="A23" i="16"/>
  <c r="B23" i="16"/>
  <c r="C23" i="16" s="1"/>
  <c r="B21" i="16"/>
  <c r="H10" i="16"/>
  <c r="S10" i="15"/>
  <c r="I10" i="15"/>
  <c r="C21" i="16" l="1"/>
  <c r="N21" i="15"/>
  <c r="Q10" i="15"/>
  <c r="O21" i="15" s="1"/>
  <c r="R10" i="15"/>
  <c r="P21" i="15" s="1"/>
  <c r="R15" i="15"/>
  <c r="R11" i="15"/>
  <c r="R12" i="15"/>
  <c r="P23" i="15" s="1"/>
  <c r="Q13" i="15"/>
  <c r="R14" i="15"/>
  <c r="L21" i="15"/>
  <c r="I25" i="16"/>
  <c r="N25" i="16"/>
  <c r="O25" i="16"/>
  <c r="L26" i="15"/>
  <c r="K26" i="15" s="1"/>
  <c r="F26" i="15"/>
  <c r="I26" i="15"/>
  <c r="D26" i="15"/>
  <c r="M26" i="15"/>
  <c r="I23" i="16"/>
  <c r="N23" i="16"/>
  <c r="O23" i="16"/>
  <c r="I22" i="16"/>
  <c r="N22" i="16"/>
  <c r="O22" i="16"/>
  <c r="N20" i="16"/>
  <c r="P21" i="16"/>
  <c r="N21" i="16"/>
  <c r="M20" i="16"/>
  <c r="C20" i="16"/>
  <c r="O20" i="16"/>
  <c r="I25" i="15"/>
  <c r="F25" i="15"/>
  <c r="D25" i="15"/>
  <c r="M25" i="15"/>
  <c r="L25" i="15"/>
  <c r="D24" i="15"/>
  <c r="M24" i="15"/>
  <c r="L24" i="15"/>
  <c r="I24" i="15"/>
  <c r="G24" i="15"/>
  <c r="L23" i="15"/>
  <c r="K23" i="15" s="1"/>
  <c r="I23" i="15"/>
  <c r="G23" i="15"/>
  <c r="D23" i="15"/>
  <c r="I22" i="15"/>
  <c r="D22" i="15"/>
  <c r="M22" i="15"/>
  <c r="L22" i="15"/>
  <c r="K22" i="15" s="1"/>
  <c r="J22" i="15" s="1"/>
  <c r="K14" i="15"/>
  <c r="L14" i="15"/>
  <c r="M14" i="15" s="1"/>
  <c r="H25" i="15" s="1"/>
  <c r="L13" i="15"/>
  <c r="K13" i="15"/>
  <c r="F24" i="15" s="1"/>
  <c r="K12" i="15"/>
  <c r="F23" i="15" s="1"/>
  <c r="L12" i="15"/>
  <c r="O22" i="15"/>
  <c r="M25" i="16"/>
  <c r="M23" i="16"/>
  <c r="M22" i="16"/>
  <c r="M21" i="16"/>
  <c r="L11" i="15"/>
  <c r="G22" i="15" s="1"/>
  <c r="Q22" i="15"/>
  <c r="K10" i="15"/>
  <c r="M10" i="15" s="1"/>
  <c r="H21" i="15" s="1"/>
  <c r="P24" i="15"/>
  <c r="Q24" i="15"/>
  <c r="O23" i="15"/>
  <c r="K11" i="15"/>
  <c r="F22" i="15" s="1"/>
  <c r="O24" i="15"/>
  <c r="Q25" i="15"/>
  <c r="P25" i="15"/>
  <c r="Q26" i="15"/>
  <c r="Q23" i="15"/>
  <c r="O25" i="15"/>
  <c r="L15" i="15"/>
  <c r="G26" i="15" s="1"/>
  <c r="C24" i="15"/>
  <c r="C23" i="15"/>
  <c r="C22" i="15"/>
  <c r="C25" i="15"/>
  <c r="P22" i="15"/>
  <c r="C26" i="15"/>
  <c r="M15" i="15"/>
  <c r="H26" i="15" s="1"/>
  <c r="P26" i="15"/>
  <c r="O26" i="15"/>
  <c r="J26" i="15" s="1"/>
  <c r="P23" i="16"/>
  <c r="P22" i="16"/>
  <c r="P25" i="16"/>
  <c r="O21" i="16"/>
  <c r="P20" i="16"/>
  <c r="G23" i="16"/>
  <c r="L23" i="16"/>
  <c r="J23" i="16"/>
  <c r="K23" i="16"/>
  <c r="H23" i="16"/>
  <c r="E23" i="16"/>
  <c r="F23" i="16"/>
  <c r="L21" i="16"/>
  <c r="J21" i="16"/>
  <c r="H21" i="16"/>
  <c r="F21" i="16"/>
  <c r="K21" i="16"/>
  <c r="G21" i="16"/>
  <c r="G22" i="16"/>
  <c r="L22" i="16"/>
  <c r="J22" i="16"/>
  <c r="K22" i="16"/>
  <c r="F22" i="16"/>
  <c r="E22" i="16"/>
  <c r="H22" i="16"/>
  <c r="G20" i="16"/>
  <c r="L20" i="16"/>
  <c r="J20" i="16"/>
  <c r="H20" i="16"/>
  <c r="F20" i="16"/>
  <c r="K20" i="16"/>
  <c r="G25" i="16"/>
  <c r="L25" i="16"/>
  <c r="J25" i="16"/>
  <c r="F25" i="16"/>
  <c r="K25" i="16"/>
  <c r="H25" i="16"/>
  <c r="E25" i="16"/>
  <c r="D21" i="15"/>
  <c r="C21" i="15"/>
  <c r="Q21" i="15"/>
  <c r="I21" i="15"/>
  <c r="K21" i="15" l="1"/>
  <c r="J21" i="15" s="1"/>
  <c r="E26" i="15"/>
  <c r="E25" i="15"/>
  <c r="R25" i="15" s="1"/>
  <c r="O43" i="13" s="1"/>
  <c r="K24" i="15"/>
  <c r="J24" i="15" s="1"/>
  <c r="K25" i="15"/>
  <c r="J25" i="15" s="1"/>
  <c r="G25" i="15"/>
  <c r="J23" i="15"/>
  <c r="M13" i="15"/>
  <c r="H24" i="15" s="1"/>
  <c r="E24" i="15" s="1"/>
  <c r="M12" i="15"/>
  <c r="H23" i="15" s="1"/>
  <c r="E23" i="15" s="1"/>
  <c r="I21" i="16"/>
  <c r="E20" i="16"/>
  <c r="Q20" i="16" s="1"/>
  <c r="M11" i="15"/>
  <c r="H22" i="15" s="1"/>
  <c r="E22" i="15" s="1"/>
  <c r="I20" i="16"/>
  <c r="R26" i="15"/>
  <c r="E21" i="16"/>
  <c r="Q21" i="16" l="1"/>
  <c r="M56" i="13"/>
  <c r="Q26" i="16" l="1"/>
  <c r="M55" i="13"/>
  <c r="M60" i="13" s="1"/>
  <c r="E18" i="13" s="1"/>
  <c r="F17" i="6"/>
  <c r="F16" i="6"/>
  <c r="R24" i="15" l="1"/>
  <c r="O42" i="13" s="1"/>
  <c r="F21" i="15"/>
  <c r="G21" i="15"/>
  <c r="E21" i="15" l="1"/>
  <c r="R21" i="15" s="1"/>
  <c r="R23" i="15"/>
  <c r="R22" i="15" l="1"/>
  <c r="R27" i="15" s="1"/>
  <c r="O39" i="13"/>
  <c r="O41" i="13"/>
  <c r="K22" i="18"/>
  <c r="O40" i="13" l="1"/>
  <c r="O45" i="13" s="1"/>
  <c r="E17" i="13" s="1"/>
  <c r="K27" i="18"/>
  <c r="F71" i="13"/>
  <c r="F76" i="13" s="1"/>
  <c r="E19" i="13" s="1"/>
  <c r="D140" i="13" l="1"/>
  <c r="D145" i="13" s="1"/>
  <c r="E24" i="13" s="1"/>
  <c r="E27" i="1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<sst xmlns="http://schemas.openxmlformats.org/spreadsheetml/2006/main" count="552" uniqueCount="311">
  <si>
    <t>Achat des plants</t>
  </si>
  <si>
    <t>% de plants MFR</t>
  </si>
  <si>
    <t>BANDE ENHERBÉE</t>
  </si>
  <si>
    <t>PLANTS</t>
  </si>
  <si>
    <t>PAILLAGE</t>
  </si>
  <si>
    <t>Optionnel</t>
  </si>
  <si>
    <t>Obligatoire</t>
  </si>
  <si>
    <t>SOL et PLANTATION</t>
  </si>
  <si>
    <t>Coût pour Haie 1 rang (en € HT/ml)</t>
  </si>
  <si>
    <t>Coût pour Haie 2 rangs (en € HT/ml)</t>
  </si>
  <si>
    <t>Coût (en € HT/arbre)</t>
  </si>
  <si>
    <t>PROTECTION INDIVIDUELLE GIBIER</t>
  </si>
  <si>
    <t>Achat et pose de protections individuelles grand gibier</t>
  </si>
  <si>
    <t>PLANTATION DE HAIES</t>
  </si>
  <si>
    <t>Achat et pose de protections individuelles</t>
  </si>
  <si>
    <t>Fiche de calcul des montants de dépenses éligibles</t>
  </si>
  <si>
    <t>Haies</t>
  </si>
  <si>
    <t xml:space="preserve">MESURE FEADER AGROFORESTERIE </t>
  </si>
  <si>
    <t>PROJET DE PLANTATION DE HAIE</t>
  </si>
  <si>
    <t>Nb de rangs</t>
  </si>
  <si>
    <t>Numéro de parcelle</t>
  </si>
  <si>
    <t>Numéro de la haie</t>
  </si>
  <si>
    <t>% de plants  Végétal Local</t>
  </si>
  <si>
    <t>Clôture électrique</t>
  </si>
  <si>
    <t>Clôture barbelée</t>
  </si>
  <si>
    <t>Clôture grillage</t>
  </si>
  <si>
    <t>Montant de l'assiette éligible</t>
  </si>
  <si>
    <t xml:space="preserve">Nom de la structure d'accompagnement </t>
  </si>
  <si>
    <t>PROJET DE PLANTATION D'ARBRES INTRAPARCELLAIRES</t>
  </si>
  <si>
    <t>Identification du projet</t>
  </si>
  <si>
    <t>Caractéristique de l'aménagement</t>
  </si>
  <si>
    <t>Numéro de l'aménagement</t>
  </si>
  <si>
    <t>Longueur (ml)</t>
  </si>
  <si>
    <t>SYNTHESE DU PROJET</t>
  </si>
  <si>
    <t>Plantation de haie</t>
  </si>
  <si>
    <t>Plantation d'arbres intraparcellaires</t>
  </si>
  <si>
    <t>Plantation de bosquets</t>
  </si>
  <si>
    <t>Type d'aménagement</t>
  </si>
  <si>
    <t>TOTAL</t>
  </si>
  <si>
    <t>Protection de la haie</t>
  </si>
  <si>
    <t>Achat de plants sans label</t>
  </si>
  <si>
    <t>Achat de plants Végétal local</t>
  </si>
  <si>
    <t>Achat de plants MFR</t>
  </si>
  <si>
    <t>Fourniture et pose du paillage</t>
  </si>
  <si>
    <t>Achat et pose d'une clôture électrique</t>
  </si>
  <si>
    <t>Achat et pose d'un grillage</t>
  </si>
  <si>
    <t>Achat et pose d'une clôture barbelé</t>
  </si>
  <si>
    <t>Haies et Arbres intraparcellaires</t>
  </si>
  <si>
    <t>liste déroulante</t>
  </si>
  <si>
    <t>oui</t>
  </si>
  <si>
    <t>non</t>
  </si>
  <si>
    <t>identification parcelle</t>
  </si>
  <si>
    <t>identification haie</t>
  </si>
  <si>
    <t>nb rangs</t>
  </si>
  <si>
    <t>caractéristique de la haie</t>
  </si>
  <si>
    <t>préparation du sol et mise en place des plants</t>
  </si>
  <si>
    <t>plants VL</t>
  </si>
  <si>
    <t>plants sans label</t>
  </si>
  <si>
    <t>plants MFR</t>
  </si>
  <si>
    <t>Achat et mise en place du paillage</t>
  </si>
  <si>
    <t>Entretien de la haie</t>
  </si>
  <si>
    <t>Nb théorique de plants</t>
  </si>
  <si>
    <t>longueur haie</t>
  </si>
  <si>
    <t>CALCUL DE L'ASSIETTE ELLIGIBLE</t>
  </si>
  <si>
    <t>Total coût des plants</t>
  </si>
  <si>
    <t>Cout plants VL</t>
  </si>
  <si>
    <t>Cout plants MFR</t>
  </si>
  <si>
    <t>Cout plants sans label</t>
  </si>
  <si>
    <t>total cout protection</t>
  </si>
  <si>
    <t>TOTAL ASSIETTE ELLIGIBLE</t>
  </si>
  <si>
    <t>Protection de la haie
1 système de protection obligatoire</t>
  </si>
  <si>
    <t>Arbres Intraparcellaires (AIP)</t>
  </si>
  <si>
    <t>longueur</t>
  </si>
  <si>
    <t>caractéristique de l'aménagement</t>
  </si>
  <si>
    <t>Achat et pose de protection pour les animaux d'élevage</t>
  </si>
  <si>
    <t>Entretien 3 ans</t>
  </si>
  <si>
    <t>Achat et pose de protection gibier</t>
  </si>
  <si>
    <t>PLANTATION D'ARBRES INTRAPARCELLAIRES</t>
  </si>
  <si>
    <t>Achat d'arbres Végétal local</t>
  </si>
  <si>
    <t>Achat d'arbres sans label</t>
  </si>
  <si>
    <t>Achat d'arbres MFR</t>
  </si>
  <si>
    <t>Identification parcelle</t>
  </si>
  <si>
    <t>Identification haie</t>
  </si>
  <si>
    <t>Achat et pose de protection gibiers</t>
  </si>
  <si>
    <t>Achat de plants Végétal Local</t>
  </si>
  <si>
    <t>% plants VL</t>
  </si>
  <si>
    <t>% plants MFR</t>
  </si>
  <si>
    <t>Nombre d'arbres plantés</t>
  </si>
  <si>
    <t xml:space="preserve">Catactéristiques de l'aménagement </t>
  </si>
  <si>
    <t>Indicateurs du projet</t>
  </si>
  <si>
    <t>total plants VL+MFR</t>
  </si>
  <si>
    <t>Achat et pose protections individuelles gibier</t>
  </si>
  <si>
    <t>Entretien de l'aménagement</t>
  </si>
  <si>
    <t>PLANTATION DE BOSQUETS</t>
  </si>
  <si>
    <t>PROJET DE PLANTATION DE BOSQUETS</t>
  </si>
  <si>
    <t>Bosquets</t>
  </si>
  <si>
    <t>Régénération naturelle assistée</t>
  </si>
  <si>
    <t>REGENERATION NATURELLE ASSISTEE</t>
  </si>
  <si>
    <t>PROJET DE REGENERATION NATURELLE ASSISTEE</t>
  </si>
  <si>
    <t>Un bosquet est un groupe d'arbres non linéaires de 100m² à 5 000m² avec 20% de plants hautes-tiges / 100% protection individuelle</t>
  </si>
  <si>
    <t>Coût par bosquet (en € / 100m²)</t>
  </si>
  <si>
    <t>densité 20 arbres / 100m²</t>
  </si>
  <si>
    <t>Achat et pose de protections individuelles  gibier</t>
  </si>
  <si>
    <t>graines VL préparées pour le semis</t>
  </si>
  <si>
    <t>obligatoire</t>
  </si>
  <si>
    <t>Coût RNAE avec enrichissement (€/ml)</t>
  </si>
  <si>
    <t>Coût RNAS avec semis
(€/ml)</t>
  </si>
  <si>
    <t>PROJET DE BANDE ENHERBEE MELLIFERE</t>
  </si>
  <si>
    <t>Bande enherbée mellifères</t>
  </si>
  <si>
    <t>Identification de l'aménagement</t>
  </si>
  <si>
    <t>Préparation du sol et mise en place des plants</t>
  </si>
  <si>
    <t>Type de RNA</t>
  </si>
  <si>
    <t>RNAE</t>
  </si>
  <si>
    <t>RNAS</t>
  </si>
  <si>
    <t>graines pour le semis</t>
  </si>
  <si>
    <t>Préparation du sol</t>
  </si>
  <si>
    <t>Graines pour le semis</t>
  </si>
  <si>
    <t>Achat et pose de la protection de la haie</t>
  </si>
  <si>
    <t>Clôture barbelé</t>
  </si>
  <si>
    <t>BANDE ENHERBEE MELLIFERE</t>
  </si>
  <si>
    <t>Coût par bande (€/m²)</t>
  </si>
  <si>
    <t>Les toiles et films composés de plastiques et "autres plastiques" (cf. composition) sont interdits à l'exception de ceux comportant jusqu'à 5% de PolyLactiAcid (PLA) maximum.</t>
  </si>
  <si>
    <t>RNAE : 1/3 du linéaire
Les toiles et films composés de plastiques et "autres plastiques" (cf. composition) sont interdits à l'exception de ceux comportant jusqu'à 5% de PolyLactiAcid (PLA) maximum.</t>
  </si>
  <si>
    <t>bande enherbée mellifère</t>
  </si>
  <si>
    <t>classique</t>
  </si>
  <si>
    <t>mellifère</t>
  </si>
  <si>
    <t xml:space="preserve">Linéaire de plants </t>
  </si>
  <si>
    <t>Linéaire VL</t>
  </si>
  <si>
    <t>Linéaire MFR</t>
  </si>
  <si>
    <t>Linéaire sans label</t>
  </si>
  <si>
    <t>Bande enherbée mellifère</t>
  </si>
  <si>
    <t>Caractéristique du projet</t>
  </si>
  <si>
    <t>Surface du bosquet (m²)</t>
  </si>
  <si>
    <t xml:space="preserve">Numéro de l'aménagement </t>
  </si>
  <si>
    <t>sans export de terre</t>
  </si>
  <si>
    <t>avec export de terre</t>
  </si>
  <si>
    <t>Création mare</t>
  </si>
  <si>
    <t>Restauration mare</t>
  </si>
  <si>
    <t>CREATION DE MARES</t>
  </si>
  <si>
    <t>RESTAURATION DE MARES</t>
  </si>
  <si>
    <t>IMPLANTATION DE FASCINES</t>
  </si>
  <si>
    <t xml:space="preserve">MESURE FEADER INFRASTRUCTURES AGROECOLOGIQUES </t>
  </si>
  <si>
    <t>Agroforesteries "haies et arbres intraparcellaires"</t>
  </si>
  <si>
    <t xml:space="preserve">Création / restauration de mares </t>
  </si>
  <si>
    <t xml:space="preserve">Création / restauration de murets en pierres sèches </t>
  </si>
  <si>
    <r>
      <t>Préparation du sol</t>
    </r>
    <r>
      <rPr>
        <sz val="10"/>
        <color theme="1"/>
        <rFont val="Calibri"/>
        <family val="2"/>
        <scheme val="minor"/>
      </rPr>
      <t xml:space="preserve"> </t>
    </r>
    <r>
      <rPr>
        <sz val="10"/>
        <color rgb="FF000000"/>
        <rFont val="Calibri"/>
        <family val="2"/>
        <scheme val="minor"/>
      </rPr>
      <t>avant plantation et mise en place des plants</t>
    </r>
  </si>
  <si>
    <t>ENTRETIEN</t>
  </si>
  <si>
    <t xml:space="preserve">ENTRETIEN </t>
  </si>
  <si>
    <t>Protection obligatoire / type optionnel</t>
  </si>
  <si>
    <t>Préparation : décompactage, sous-solage, affinage en surface</t>
  </si>
  <si>
    <t>Préparation : décompactage, sous-solage, affinage en surface…</t>
  </si>
  <si>
    <t>Dégagement des jeunes plants, remplacement de plants morts, entretien du paillage et de la protection, taille de formation…</t>
  </si>
  <si>
    <t>Régénération Naturelle Assistée avec Enrichissement (RNAE) pour une haie 1 rang avec 1 plant / 3m</t>
  </si>
  <si>
    <t>PROTECTION ÉLEVAGE</t>
  </si>
  <si>
    <t>PROTECTION DE L'AMENAGEMENT</t>
  </si>
  <si>
    <t>Montant assiette éligible</t>
  </si>
  <si>
    <t>PROJET DE CREATION DE MARES</t>
  </si>
  <si>
    <t>PROJET DE RESTAURATION DE MARES</t>
  </si>
  <si>
    <t>PROJET D'IMPLANTATION DE FASCINES</t>
  </si>
  <si>
    <t>Implantation de fascines</t>
  </si>
  <si>
    <t>Création de mares</t>
  </si>
  <si>
    <t>Restauration de mares</t>
  </si>
  <si>
    <t>Restauration de murets</t>
  </si>
  <si>
    <t>Création de murets</t>
  </si>
  <si>
    <t>Choix d'un système de protection parmi les trois types de clôture
Si intraparcellaire / zone d'élevage : cout de la cloture x2</t>
  </si>
  <si>
    <t>Haie 1 rang : espacement de 1m sur le rang
Haie 2 rangs : espacement de 1,5m sur le rang
Préparation : décompactage, sous-solage, affinage en surface</t>
  </si>
  <si>
    <t>Mise en place d’une bande enherbée mellifère</t>
  </si>
  <si>
    <t>100% de protection très fortement recommandé, les situations sans abroutissement étant très rares</t>
  </si>
  <si>
    <t>parcelle prairiale</t>
  </si>
  <si>
    <t>Protection individuelle</t>
  </si>
  <si>
    <t>Obligatoire pour RNAS</t>
  </si>
  <si>
    <t>cout total protection</t>
  </si>
  <si>
    <t>Grillage</t>
  </si>
  <si>
    <t>Choix du système de protection entre la clôture elevage et la protection individuelle</t>
  </si>
  <si>
    <t>Obligatoire / type optionnel</t>
  </si>
  <si>
    <t>Recommandation RNAS : densité 20 graines / ml</t>
  </si>
  <si>
    <t>PREPARATION DU SOL</t>
  </si>
  <si>
    <t>Préparation : décompactage, sous-solage, affinage en surface…+ semis pour RNAS</t>
  </si>
  <si>
    <t>projet intraparcellaire</t>
  </si>
  <si>
    <t>Bande enherbée obligatoire sauf en cas de parcelle prairiale
bande enherbée de 2m 
Bande enherbée mellifère : semences Végétal local + semis</t>
  </si>
  <si>
    <t>Linéaire de RNA (m)</t>
  </si>
  <si>
    <t>bande enherbée entre 2 et 4 m de large</t>
  </si>
  <si>
    <t>Largeur de l'aménagement (m)</t>
  </si>
  <si>
    <t>Surface de bande enherbées (m²)</t>
  </si>
  <si>
    <r>
      <t>Achat et pose</t>
    </r>
    <r>
      <rPr>
        <sz val="10"/>
        <color theme="1"/>
        <rFont val="Calibri"/>
        <family val="2"/>
        <scheme val="minor"/>
      </rPr>
      <t xml:space="preserve"> de </t>
    </r>
    <r>
      <rPr>
        <sz val="10"/>
        <color rgb="FF000000"/>
        <rFont val="Calibri"/>
        <family val="2"/>
        <scheme val="minor"/>
      </rPr>
      <t>protections animaux  d'élevage</t>
    </r>
  </si>
  <si>
    <t>Un bosquet est un groupe d'arbres non linéaires de 100m² à 5 000m² avec 20% de plants hautes-tiges / 100% protection individuelle / densité de 20 arbres pour 100m²</t>
  </si>
  <si>
    <t>100% de protections individuelles</t>
  </si>
  <si>
    <t>longueur de l'aménagement (m)</t>
  </si>
  <si>
    <t>Surface de mares créees (m²)</t>
  </si>
  <si>
    <t>Surface de mares restaurées (m²)</t>
  </si>
  <si>
    <t>surface de la mare</t>
  </si>
  <si>
    <t>Surface de la mare</t>
  </si>
  <si>
    <t>menu déroulant</t>
  </si>
  <si>
    <t>Identification de la mare</t>
  </si>
  <si>
    <t>identification de la mare</t>
  </si>
  <si>
    <t>surface 1</t>
  </si>
  <si>
    <t>surface 2</t>
  </si>
  <si>
    <t>surface 3</t>
  </si>
  <si>
    <t>catégorie surface</t>
  </si>
  <si>
    <t>MESURE FEADER INFRASTRUCTURES AGROECOLOGIQUES "Agroforesterie"</t>
  </si>
  <si>
    <t>MESURE FEADER INFRASTRUCTURES AGROECOLOGIQUES "Mares"</t>
  </si>
  <si>
    <t>MESURE FEADER INFRASTRUCTURES AGROECOLOGIQUES "Fascines"</t>
  </si>
  <si>
    <t>Prise en compte de 15% de regarni dans le cout des plants
Pas de distinction entre hautes et basses tiges
50% min en nb de plants avec le label Végétal Local et/ou Matériel Forestier de Reproduction</t>
  </si>
  <si>
    <t>Obligatoire ≥ 50 %</t>
  </si>
  <si>
    <t>entre 25 et 99m²</t>
  </si>
  <si>
    <t>Création</t>
  </si>
  <si>
    <t>au m2</t>
  </si>
  <si>
    <t>Restauration</t>
  </si>
  <si>
    <t>Achat et mise en place des plants 
&gt;50% VL+MFR</t>
  </si>
  <si>
    <t>Achat et pose de protections individuelles petits gibiers</t>
  </si>
  <si>
    <t>Achat et pose de protections individuelles grands gibiers</t>
  </si>
  <si>
    <t xml:space="preserve"> % protection individuelle petits gibiers</t>
  </si>
  <si>
    <t xml:space="preserve"> % protection individuelle grand gibier</t>
  </si>
  <si>
    <t>Total plants VL + MFR &gt;50%</t>
  </si>
  <si>
    <t>protection indiv petits gibiers (ml)</t>
  </si>
  <si>
    <t>protection indiv grands gibiers (ml)</t>
  </si>
  <si>
    <t>protection petits gibiers</t>
  </si>
  <si>
    <t>protection grands gibiers</t>
  </si>
  <si>
    <t>protection individuelle</t>
  </si>
  <si>
    <t>cout cloture</t>
  </si>
  <si>
    <t>Achat d'arbustes sans label</t>
  </si>
  <si>
    <t>Achat d'arbustes Végétal Local</t>
  </si>
  <si>
    <t>Achat d'arbustes MFR</t>
  </si>
  <si>
    <t>Nombre d'arbustes plantés</t>
  </si>
  <si>
    <t>Longueur</t>
  </si>
  <si>
    <t>nb d'arbustes</t>
  </si>
  <si>
    <t>Nb d'arbres</t>
  </si>
  <si>
    <t>cout arbustes MFR</t>
  </si>
  <si>
    <t>Achat et mise en place des plants 
(&gt;50% VL+MFR)</t>
  </si>
  <si>
    <t>Nb d'arbres  Végétal Local</t>
  </si>
  <si>
    <t>Nb d'arbres MFR</t>
  </si>
  <si>
    <t>Nb arbustes Végétal Local</t>
  </si>
  <si>
    <t>Nb arbustes MFR</t>
  </si>
  <si>
    <t>Nombre de protections individuelles gibier (arbres+arbustes)</t>
  </si>
  <si>
    <t>% de protection gibier (arbres+ arbustes)</t>
  </si>
  <si>
    <t>Achat des arbes</t>
  </si>
  <si>
    <t>achat des arbustes</t>
  </si>
  <si>
    <t>total cout arbustes</t>
  </si>
  <si>
    <t>cout arbustes VL</t>
  </si>
  <si>
    <t>cout arbustes sans label</t>
  </si>
  <si>
    <t>Total coût des arbres</t>
  </si>
  <si>
    <t>Cout des arbres VL</t>
  </si>
  <si>
    <t>Cout des arbres MFR</t>
  </si>
  <si>
    <t>Cout des arbres sans label</t>
  </si>
  <si>
    <t>Prise en compte de 15% de regarni lors de l'achat des plants
50% min en nb de plants avec le label Végétal Local et/ou Matériel Forestier de Reproduction</t>
  </si>
  <si>
    <t>Coût par fascine 
(€ / ml)</t>
  </si>
  <si>
    <t>éligiblité</t>
  </si>
  <si>
    <t>cout de la BEM</t>
  </si>
  <si>
    <t>Surface de la bande (m²)</t>
  </si>
  <si>
    <t>cout de la fascine</t>
  </si>
  <si>
    <t>fascine vivante</t>
  </si>
  <si>
    <t>Surface de l'aménagement (m²)</t>
  </si>
  <si>
    <t>Surface de bosquets (m²)</t>
  </si>
  <si>
    <t>Contrôle cloture</t>
  </si>
  <si>
    <t>Mise en place 1 système protection</t>
  </si>
  <si>
    <t>Surface du bosquet (m²)
max 5000m²</t>
  </si>
  <si>
    <t>Un plant / 3m pour la RNA
50% min en nb de plants avec le label Végétal Local et/ou Matériel Forestier de Reproduction</t>
  </si>
  <si>
    <t>type RNA</t>
  </si>
  <si>
    <t>50% arbres et arbustes en VL+MFR</t>
  </si>
  <si>
    <t>cout du mur</t>
  </si>
  <si>
    <t>Prise en compte de 15% de regarni dans le cout des plants
Pas de distinction entre hautes et basses tiges
50% min en nb de plants avec le label Végétal Local et/ou Matériel Forestier de Reproduction
Minimum 5 essences différentes</t>
  </si>
  <si>
    <t>Choix du système de protection entre une clôture (quelque soit le type) et la protection individuelle
Si implantation en intraparcellaire : clôture double et cout multiplié par deux</t>
  </si>
  <si>
    <t>CREATION / RESTAURATION DE MURS</t>
  </si>
  <si>
    <t>PROJET DE CREATION DE MURS</t>
  </si>
  <si>
    <t>MESURE FEADER INFRASTRUCTURES AGROECOLOGIQUES "Murs de pierres sèches"</t>
  </si>
  <si>
    <t>Restauration de murs</t>
  </si>
  <si>
    <t xml:space="preserve">Création / restauration de murs en pierres sèches </t>
  </si>
  <si>
    <t>surface 4</t>
  </si>
  <si>
    <t>Entre 100 et 199 m²</t>
  </si>
  <si>
    <t>Entre 200 et 299 m²</t>
  </si>
  <si>
    <t>Travaux de creusement
(€/m²)</t>
  </si>
  <si>
    <t>cout travaux</t>
  </si>
  <si>
    <t>travaux restauration</t>
  </si>
  <si>
    <t>travaux de restauration (€/m²)</t>
  </si>
  <si>
    <t>TOTAL ASSIETTE ELIGIBLE</t>
  </si>
  <si>
    <t>CALCUL DE L'ASSIETTE ELIGIBLE</t>
  </si>
  <si>
    <t>SEMENCES MELLIFERES Labélisées Végétal Local</t>
  </si>
  <si>
    <t>préparation du sol, achat des semences et semis</t>
  </si>
  <si>
    <t>fascine morte + haie 3 rangs espacement 0,33m entre chaque plant</t>
  </si>
  <si>
    <t>préparation du sol, implantation d'une haie 3 rangs, paillage, protections gibier, entretien</t>
  </si>
  <si>
    <t>Entre 300 et 500 m²</t>
  </si>
  <si>
    <t>Montant du devis retenu</t>
  </si>
  <si>
    <t>PROJET DE RESTAURATION DE MURS</t>
  </si>
  <si>
    <t xml:space="preserve"> selon le montant HT du devis retenu</t>
  </si>
  <si>
    <t>Surface de murs créés (m²)</t>
  </si>
  <si>
    <t>protection élevage</t>
  </si>
  <si>
    <t>Contrôle protection</t>
  </si>
  <si>
    <t xml:space="preserve">Numéro de version </t>
  </si>
  <si>
    <t>Date d'émission</t>
  </si>
  <si>
    <t>Nature des modifications</t>
  </si>
  <si>
    <t>Coût RNAE avec enrichissement (€ au ml planté )</t>
  </si>
  <si>
    <t>Eligibilité des AIP par rapport à l'appel à projet</t>
  </si>
  <si>
    <t>Eligibilité du bosquet par rapport à l'appel à projet</t>
  </si>
  <si>
    <t>Eligibilité de la RNA par rapport à l'appel à projet</t>
  </si>
  <si>
    <t>Eligibilité de la BEM par rapport à l'appel à projet</t>
  </si>
  <si>
    <t>Eligibilité de la fascine  par rapport à l'appel à projet</t>
  </si>
  <si>
    <t>Eligibilité de la création de mare par rapport à l'appel à projet</t>
  </si>
  <si>
    <t>Eligibilité de la restauration de mare par rapport à l'appel à projet</t>
  </si>
  <si>
    <t>Eligibilité de la création de mur par rapport à l'appel à projet</t>
  </si>
  <si>
    <t>Eligibilité de la restauration de mur  par rapport à l'appel à projet</t>
  </si>
  <si>
    <t>Colonne réservée au service instructeur</t>
  </si>
  <si>
    <r>
      <t xml:space="preserve">haie intraparcellaire </t>
    </r>
    <r>
      <rPr>
        <b/>
        <sz val="9"/>
        <color theme="1"/>
        <rFont val="Calibri"/>
        <family val="2"/>
        <scheme val="minor"/>
      </rPr>
      <t>(clôture des 2 côtés)</t>
    </r>
  </si>
  <si>
    <t>Eligibilité de la haie par rapport à l'appel à projet</t>
  </si>
  <si>
    <t>Nom / Raison sociale du porteur de projet</t>
  </si>
  <si>
    <t xml:space="preserve"> </t>
  </si>
  <si>
    <t>Linéaire de fascines (m)</t>
  </si>
  <si>
    <t>Nombre d'arbres intraparcellaires</t>
  </si>
  <si>
    <t>Linaire de haies (m)</t>
  </si>
  <si>
    <t>Surface de murs restaurés (m²)</t>
  </si>
  <si>
    <t>Total nombre de plants</t>
  </si>
  <si>
    <t>fascine  + haie 3 rangs espacement de 0,33m entre chaque plant
plants : minimum 50% VL et/ou MFR et 5 essences différentes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</si>
</sst>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  <numFmt numFmtId="165" formatCode="#,##0\ &quot;€&quot;"/>
    <numFmt numFmtId="166" formatCode="0.0%"/>
  </numFmts>
  <fonts count="5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0"/>
      <color theme="8" tint="-0.249977111117893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8" tint="-0.249977111117893"/>
      <name val="Calibri"/>
      <family val="2"/>
      <scheme val="minor"/>
    </font>
    <font>
      <i/>
      <sz val="10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5"/>
      <color theme="4" tint="-0.499984740745262"/>
      <name val="Calibri"/>
      <family val="2"/>
      <scheme val="minor"/>
    </font>
    <font>
      <sz val="12"/>
      <color rgb="FF1F497D"/>
      <name val="Calibri"/>
      <family val="2"/>
      <scheme val="minor"/>
    </font>
    <font>
      <sz val="10"/>
      <color theme="1"/>
      <name val="Times New Roman"/>
      <family val="1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25"/>
      <color theme="8" tint="-0.249977111117893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i/>
      <sz val="11"/>
      <color rgb="FF00000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color rgb="FF00B0F0"/>
      <name val="Calibri"/>
      <family val="2"/>
      <scheme val="minor"/>
    </font>
    <font>
      <sz val="10"/>
      <color rgb="FF00B0F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20"/>
      <color rgb="FFC0000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sz val="10"/>
      <color rgb="FFC00000"/>
      <name val="Calibri"/>
      <family val="2"/>
      <scheme val="minor"/>
    </font>
    <font>
      <sz val="10"/>
      <color rgb="FFC00000"/>
      <name val="Times New Roman"/>
      <family val="1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i/>
      <sz val="10"/>
      <color rgb="FF000000"/>
      <name val="Calibri"/>
      <family val="2"/>
    </font>
    <font>
      <b/>
      <i/>
      <sz val="11"/>
      <color theme="1"/>
      <name val="Calibri"/>
      <family val="2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i/>
      <sz val="10"/>
      <color theme="2" tint="-0.249977111117893"/>
      <name val="Calibri"/>
      <family val="2"/>
      <scheme val="minor"/>
    </font>
    <font>
      <sz val="10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76B53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489">
    <xf numFmtId="0" fontId="0" fillId="0" borderId="0" xfId="0"/>
    <xf numFmtId="0" fontId="1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8" fontId="1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2" borderId="0" xfId="0" applyFont="1" applyFill="1" applyAlignment="1">
      <alignment vertical="center"/>
    </xf>
    <xf numFmtId="0" fontId="8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14" fillId="0" borderId="0" xfId="0" applyFont="1" applyBorder="1" applyAlignment="1">
      <alignment vertical="center"/>
    </xf>
    <xf numFmtId="0" fontId="1" fillId="0" borderId="0" xfId="0" applyFont="1" applyAlignment="1">
      <alignment wrapText="1"/>
    </xf>
    <xf numFmtId="0" fontId="5" fillId="3" borderId="3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164" fontId="1" fillId="2" borderId="0" xfId="0" applyNumberFormat="1" applyFont="1" applyFill="1" applyBorder="1" applyAlignment="1">
      <alignment vertical="center"/>
    </xf>
    <xf numFmtId="0" fontId="5" fillId="3" borderId="6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8" fontId="4" fillId="6" borderId="7" xfId="0" applyNumberFormat="1" applyFont="1" applyFill="1" applyBorder="1" applyAlignment="1">
      <alignment horizontal="center" vertical="center" wrapText="1"/>
    </xf>
    <xf numFmtId="164" fontId="6" fillId="6" borderId="3" xfId="0" applyNumberFormat="1" applyFont="1" applyFill="1" applyBorder="1" applyAlignment="1">
      <alignment horizontal="center" vertical="center" wrapText="1"/>
    </xf>
    <xf numFmtId="164" fontId="6" fillId="6" borderId="3" xfId="2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8" fontId="4" fillId="6" borderId="5" xfId="0" applyNumberFormat="1" applyFont="1" applyFill="1" applyBorder="1" applyAlignment="1">
      <alignment horizontal="center" vertical="center" wrapText="1"/>
    </xf>
    <xf numFmtId="0" fontId="0" fillId="0" borderId="0" xfId="0" applyFont="1" applyFill="1"/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 wrapText="1"/>
    </xf>
    <xf numFmtId="9" fontId="0" fillId="0" borderId="13" xfId="1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2" fontId="0" fillId="0" borderId="13" xfId="0" applyNumberFormat="1" applyBorder="1" applyAlignment="1">
      <alignment horizontal="center" vertical="center" wrapText="1"/>
    </xf>
    <xf numFmtId="9" fontId="0" fillId="0" borderId="13" xfId="0" applyNumberFormat="1" applyBorder="1" applyAlignment="1">
      <alignment horizontal="center" vertical="center" wrapText="1"/>
    </xf>
    <xf numFmtId="164" fontId="0" fillId="0" borderId="13" xfId="0" applyNumberFormat="1" applyBorder="1" applyAlignment="1">
      <alignment horizontal="right" vertical="center" wrapText="1"/>
    </xf>
    <xf numFmtId="164" fontId="4" fillId="6" borderId="3" xfId="0" applyNumberFormat="1" applyFont="1" applyFill="1" applyBorder="1" applyAlignment="1">
      <alignment horizontal="center" vertical="center" wrapText="1"/>
    </xf>
    <xf numFmtId="164" fontId="4" fillId="6" borderId="7" xfId="0" applyNumberFormat="1" applyFont="1" applyFill="1" applyBorder="1" applyAlignment="1">
      <alignment horizontal="center" vertical="center" wrapText="1"/>
    </xf>
    <xf numFmtId="0" fontId="11" fillId="0" borderId="0" xfId="0" applyFont="1"/>
    <xf numFmtId="164" fontId="0" fillId="0" borderId="13" xfId="0" applyNumberFormat="1" applyBorder="1" applyAlignment="1">
      <alignment horizontal="right"/>
    </xf>
    <xf numFmtId="164" fontId="10" fillId="5" borderId="3" xfId="0" applyNumberFormat="1" applyFont="1" applyFill="1" applyBorder="1"/>
    <xf numFmtId="0" fontId="13" fillId="0" borderId="0" xfId="0" applyFont="1" applyFill="1" applyAlignment="1"/>
    <xf numFmtId="0" fontId="0" fillId="0" borderId="25" xfId="0" applyFont="1" applyFill="1" applyBorder="1" applyAlignment="1">
      <alignment horizontal="center" vertical="center"/>
    </xf>
    <xf numFmtId="9" fontId="0" fillId="0" borderId="15" xfId="1" applyFont="1" applyFill="1" applyBorder="1" applyAlignment="1">
      <alignment horizontal="center" vertical="center"/>
    </xf>
    <xf numFmtId="0" fontId="0" fillId="0" borderId="25" xfId="0" applyFont="1" applyFill="1" applyBorder="1" applyAlignment="1">
      <alignment horizontal="center"/>
    </xf>
    <xf numFmtId="9" fontId="0" fillId="0" borderId="15" xfId="1" applyFont="1" applyFill="1" applyBorder="1" applyAlignment="1">
      <alignment horizontal="center"/>
    </xf>
    <xf numFmtId="0" fontId="0" fillId="0" borderId="24" xfId="0" applyFont="1" applyFill="1" applyBorder="1" applyAlignment="1">
      <alignment horizontal="center"/>
    </xf>
    <xf numFmtId="0" fontId="12" fillId="4" borderId="0" xfId="0" applyFont="1" applyFill="1"/>
    <xf numFmtId="0" fontId="1" fillId="3" borderId="0" xfId="0" applyFont="1" applyFill="1" applyBorder="1" applyAlignment="1">
      <alignment horizontal="center" vertical="center"/>
    </xf>
    <xf numFmtId="8" fontId="1" fillId="3" borderId="0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 wrapText="1"/>
    </xf>
    <xf numFmtId="0" fontId="19" fillId="3" borderId="0" xfId="0" applyFont="1" applyFill="1" applyBorder="1" applyAlignment="1">
      <alignment vertical="center"/>
    </xf>
    <xf numFmtId="0" fontId="14" fillId="3" borderId="0" xfId="0" applyFont="1" applyFill="1" applyBorder="1" applyAlignment="1">
      <alignment vertical="center"/>
    </xf>
    <xf numFmtId="0" fontId="1" fillId="3" borderId="0" xfId="0" applyFont="1" applyFill="1" applyBorder="1" applyAlignment="1">
      <alignment vertical="center"/>
    </xf>
    <xf numFmtId="0" fontId="1" fillId="3" borderId="0" xfId="0" applyFont="1" applyFill="1" applyBorder="1" applyAlignment="1">
      <alignment vertical="center" wrapText="1"/>
    </xf>
    <xf numFmtId="0" fontId="16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64" fontId="10" fillId="5" borderId="6" xfId="0" applyNumberFormat="1" applyFont="1" applyFill="1" applyBorder="1"/>
    <xf numFmtId="0" fontId="0" fillId="3" borderId="13" xfId="0" applyFill="1" applyBorder="1" applyAlignment="1">
      <alignment horizontal="center" vertical="center" wrapText="1"/>
    </xf>
    <xf numFmtId="0" fontId="0" fillId="3" borderId="0" xfId="0" applyFill="1" applyBorder="1" applyAlignment="1">
      <alignment horizontal="center" vertical="center" wrapText="1"/>
    </xf>
    <xf numFmtId="0" fontId="0" fillId="0" borderId="13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 wrapText="1"/>
    </xf>
    <xf numFmtId="0" fontId="0" fillId="0" borderId="0" xfId="0" applyFill="1"/>
    <xf numFmtId="0" fontId="0" fillId="0" borderId="13" xfId="0" applyFill="1" applyBorder="1" applyAlignment="1">
      <alignment horizontal="center" vertical="center" wrapText="1"/>
    </xf>
    <xf numFmtId="2" fontId="0" fillId="0" borderId="13" xfId="0" applyNumberFormat="1" applyFill="1" applyBorder="1" applyAlignment="1">
      <alignment horizontal="center" vertical="center" wrapText="1"/>
    </xf>
    <xf numFmtId="9" fontId="0" fillId="0" borderId="13" xfId="0" applyNumberFormat="1" applyFill="1" applyBorder="1" applyAlignment="1">
      <alignment horizontal="center" vertical="center" wrapText="1"/>
    </xf>
    <xf numFmtId="0" fontId="11" fillId="0" borderId="0" xfId="0" applyFont="1" applyFill="1"/>
    <xf numFmtId="164" fontId="0" fillId="0" borderId="13" xfId="0" applyNumberFormat="1" applyFill="1" applyBorder="1" applyAlignment="1">
      <alignment horizontal="right" vertical="center" wrapText="1"/>
    </xf>
    <xf numFmtId="164" fontId="0" fillId="0" borderId="13" xfId="0" applyNumberFormat="1" applyFill="1" applyBorder="1" applyAlignment="1">
      <alignment horizontal="right"/>
    </xf>
    <xf numFmtId="164" fontId="0" fillId="5" borderId="13" xfId="0" applyNumberFormat="1" applyFill="1" applyBorder="1"/>
    <xf numFmtId="0" fontId="0" fillId="0" borderId="0" xfId="0" applyFont="1" applyFill="1" applyBorder="1"/>
    <xf numFmtId="0" fontId="20" fillId="2" borderId="0" xfId="0" applyFont="1" applyFill="1" applyBorder="1" applyAlignment="1">
      <alignment vertical="center"/>
    </xf>
    <xf numFmtId="0" fontId="20" fillId="2" borderId="0" xfId="0" applyFont="1" applyFill="1" applyBorder="1" applyAlignment="1">
      <alignment vertical="center" wrapText="1"/>
    </xf>
    <xf numFmtId="0" fontId="15" fillId="3" borderId="3" xfId="0" applyFont="1" applyFill="1" applyBorder="1" applyAlignment="1">
      <alignment horizontal="center" vertical="center" wrapText="1"/>
    </xf>
    <xf numFmtId="8" fontId="14" fillId="0" borderId="5" xfId="0" applyNumberFormat="1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8" fontId="14" fillId="6" borderId="7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left"/>
    </xf>
    <xf numFmtId="0" fontId="14" fillId="0" borderId="12" xfId="0" applyFont="1" applyFill="1" applyBorder="1" applyAlignment="1">
      <alignment horizontal="center" vertical="center" wrapText="1"/>
    </xf>
    <xf numFmtId="8" fontId="1" fillId="0" borderId="0" xfId="0" applyNumberFormat="1" applyFont="1" applyBorder="1" applyAlignment="1">
      <alignment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/>
    </xf>
    <xf numFmtId="0" fontId="11" fillId="3" borderId="42" xfId="0" applyFont="1" applyFill="1" applyBorder="1" applyAlignment="1">
      <alignment horizontal="center" vertical="center" wrapText="1"/>
    </xf>
    <xf numFmtId="0" fontId="0" fillId="0" borderId="43" xfId="0" applyFont="1" applyFill="1" applyBorder="1" applyAlignment="1">
      <alignment horizontal="center" vertical="center"/>
    </xf>
    <xf numFmtId="0" fontId="0" fillId="0" borderId="41" xfId="0" applyFont="1" applyFill="1" applyBorder="1" applyAlignment="1">
      <alignment horizontal="center" vertical="center"/>
    </xf>
    <xf numFmtId="9" fontId="0" fillId="0" borderId="20" xfId="1" applyFont="1" applyFill="1" applyBorder="1" applyAlignment="1">
      <alignment horizontal="center" vertical="center"/>
    </xf>
    <xf numFmtId="9" fontId="0" fillId="0" borderId="16" xfId="1" applyFont="1" applyFill="1" applyBorder="1" applyAlignment="1">
      <alignment horizontal="center" vertical="center"/>
    </xf>
    <xf numFmtId="0" fontId="0" fillId="0" borderId="49" xfId="0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/>
    </xf>
    <xf numFmtId="9" fontId="0" fillId="0" borderId="14" xfId="1" applyFont="1" applyFill="1" applyBorder="1" applyAlignment="1">
      <alignment horizontal="center" vertical="center"/>
    </xf>
    <xf numFmtId="9" fontId="0" fillId="0" borderId="19" xfId="1" applyFont="1" applyFill="1" applyBorder="1" applyAlignment="1">
      <alignment horizontal="center" vertical="center"/>
    </xf>
    <xf numFmtId="0" fontId="0" fillId="0" borderId="50" xfId="0" applyFont="1" applyFill="1" applyBorder="1" applyAlignment="1">
      <alignment horizontal="center" vertical="center"/>
    </xf>
    <xf numFmtId="9" fontId="0" fillId="0" borderId="24" xfId="1" applyFont="1" applyFill="1" applyBorder="1" applyAlignment="1">
      <alignment horizontal="center" vertical="center"/>
    </xf>
    <xf numFmtId="9" fontId="0" fillId="0" borderId="26" xfId="1" applyFont="1" applyFill="1" applyBorder="1" applyAlignment="1">
      <alignment horizontal="center" vertical="center"/>
    </xf>
    <xf numFmtId="0" fontId="0" fillId="0" borderId="26" xfId="0" applyFont="1" applyFill="1" applyBorder="1" applyAlignment="1">
      <alignment horizontal="center"/>
    </xf>
    <xf numFmtId="0" fontId="11" fillId="3" borderId="36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15" fillId="0" borderId="3" xfId="0" applyFont="1" applyFill="1" applyBorder="1" applyAlignment="1">
      <alignment horizontal="center" vertical="center" wrapText="1"/>
    </xf>
    <xf numFmtId="2" fontId="2" fillId="0" borderId="0" xfId="0" applyNumberFormat="1" applyFont="1" applyFill="1" applyBorder="1" applyAlignment="1">
      <alignment vertical="center"/>
    </xf>
    <xf numFmtId="2" fontId="18" fillId="0" borderId="41" xfId="0" applyNumberFormat="1" applyFont="1" applyFill="1" applyBorder="1" applyAlignment="1">
      <alignment vertical="center"/>
    </xf>
    <xf numFmtId="2" fontId="18" fillId="0" borderId="42" xfId="0" applyNumberFormat="1" applyFont="1" applyFill="1" applyBorder="1" applyAlignment="1">
      <alignment vertical="center"/>
    </xf>
    <xf numFmtId="164" fontId="11" fillId="3" borderId="10" xfId="0" applyNumberFormat="1" applyFont="1" applyFill="1" applyBorder="1" applyAlignment="1"/>
    <xf numFmtId="164" fontId="11" fillId="3" borderId="56" xfId="0" applyNumberFormat="1" applyFont="1" applyFill="1" applyBorder="1" applyAlignment="1"/>
    <xf numFmtId="164" fontId="11" fillId="3" borderId="8" xfId="0" applyNumberFormat="1" applyFont="1" applyFill="1" applyBorder="1" applyAlignment="1"/>
    <xf numFmtId="164" fontId="11" fillId="3" borderId="3" xfId="0" applyNumberFormat="1" applyFont="1" applyFill="1" applyBorder="1" applyAlignment="1"/>
    <xf numFmtId="0" fontId="10" fillId="0" borderId="0" xfId="0" applyFont="1" applyFill="1" applyBorder="1" applyAlignment="1">
      <alignment horizontal="left" vertical="center" wrapText="1"/>
    </xf>
    <xf numFmtId="0" fontId="21" fillId="0" borderId="0" xfId="0" applyFont="1" applyFill="1" applyAlignment="1">
      <alignment horizontal="left" vertical="center"/>
    </xf>
    <xf numFmtId="0" fontId="0" fillId="0" borderId="24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15" fillId="8" borderId="3" xfId="0" applyFont="1" applyFill="1" applyBorder="1" applyAlignment="1">
      <alignment horizontal="center" vertical="center" wrapText="1"/>
    </xf>
    <xf numFmtId="0" fontId="15" fillId="8" borderId="7" xfId="0" applyFont="1" applyFill="1" applyBorder="1" applyAlignment="1">
      <alignment horizontal="center" vertical="center" wrapText="1"/>
    </xf>
    <xf numFmtId="0" fontId="15" fillId="8" borderId="33" xfId="0" applyFont="1" applyFill="1" applyBorder="1" applyAlignment="1">
      <alignment horizontal="center" vertical="center" wrapText="1"/>
    </xf>
    <xf numFmtId="0" fontId="15" fillId="8" borderId="4" xfId="0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left" vertical="center" wrapText="1"/>
    </xf>
    <xf numFmtId="0" fontId="14" fillId="0" borderId="7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horizontal="center" vertical="center" wrapText="1"/>
    </xf>
    <xf numFmtId="164" fontId="27" fillId="0" borderId="41" xfId="0" applyNumberFormat="1" applyFont="1" applyFill="1" applyBorder="1" applyAlignment="1">
      <alignment horizontal="right" vertical="center"/>
    </xf>
    <xf numFmtId="0" fontId="30" fillId="4" borderId="0" xfId="0" applyFont="1" applyFill="1" applyAlignment="1">
      <alignment vertical="center"/>
    </xf>
    <xf numFmtId="0" fontId="28" fillId="0" borderId="60" xfId="0" applyFont="1" applyFill="1" applyBorder="1" applyAlignment="1">
      <alignment horizontal="left" vertical="center"/>
    </xf>
    <xf numFmtId="0" fontId="28" fillId="0" borderId="35" xfId="0" applyFont="1" applyFill="1" applyBorder="1" applyAlignment="1">
      <alignment horizontal="left" vertical="center"/>
    </xf>
    <xf numFmtId="164" fontId="27" fillId="0" borderId="50" xfId="0" applyNumberFormat="1" applyFont="1" applyFill="1" applyBorder="1" applyAlignment="1">
      <alignment horizontal="right" vertical="center"/>
    </xf>
    <xf numFmtId="2" fontId="18" fillId="0" borderId="43" xfId="0" applyNumberFormat="1" applyFont="1" applyFill="1" applyBorder="1" applyAlignment="1">
      <alignment vertical="center"/>
    </xf>
    <xf numFmtId="0" fontId="29" fillId="8" borderId="38" xfId="0" applyFont="1" applyFill="1" applyBorder="1" applyAlignment="1">
      <alignment vertical="center"/>
    </xf>
    <xf numFmtId="164" fontId="27" fillId="0" borderId="43" xfId="0" applyNumberFormat="1" applyFont="1" applyFill="1" applyBorder="1" applyAlignment="1">
      <alignment horizontal="right" vertical="center"/>
    </xf>
    <xf numFmtId="0" fontId="27" fillId="8" borderId="38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center"/>
    </xf>
    <xf numFmtId="0" fontId="0" fillId="0" borderId="13" xfId="0" applyFont="1" applyFill="1" applyBorder="1" applyAlignment="1">
      <alignment horizontal="center"/>
    </xf>
    <xf numFmtId="0" fontId="0" fillId="0" borderId="27" xfId="0" applyFont="1" applyFill="1" applyBorder="1" applyAlignment="1">
      <alignment horizontal="center"/>
    </xf>
    <xf numFmtId="0" fontId="0" fillId="3" borderId="13" xfId="0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right" vertical="center" wrapText="1"/>
    </xf>
    <xf numFmtId="0" fontId="0" fillId="3" borderId="13" xfId="0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 vertical="center" wrapText="1"/>
    </xf>
    <xf numFmtId="9" fontId="0" fillId="0" borderId="13" xfId="1" applyFont="1" applyBorder="1" applyAlignment="1">
      <alignment horizontal="center" vertical="center" wrapText="1"/>
    </xf>
    <xf numFmtId="8" fontId="14" fillId="9" borderId="7" xfId="0" applyNumberFormat="1" applyFont="1" applyFill="1" applyBorder="1" applyAlignment="1">
      <alignment horizontal="center" vertical="center" wrapText="1"/>
    </xf>
    <xf numFmtId="8" fontId="16" fillId="9" borderId="7" xfId="0" applyNumberFormat="1" applyFont="1" applyFill="1" applyBorder="1" applyAlignment="1">
      <alignment horizontal="center" vertical="center" wrapText="1"/>
    </xf>
    <xf numFmtId="1" fontId="0" fillId="0" borderId="13" xfId="1" applyNumberFormat="1" applyFont="1" applyFill="1" applyBorder="1" applyAlignment="1">
      <alignment horizontal="center" vertical="center"/>
    </xf>
    <xf numFmtId="0" fontId="0" fillId="0" borderId="41" xfId="0" applyFont="1" applyFill="1" applyBorder="1" applyAlignment="1">
      <alignment horizontal="center"/>
    </xf>
    <xf numFmtId="0" fontId="0" fillId="0" borderId="26" xfId="0" applyFont="1" applyFill="1" applyBorder="1" applyAlignment="1">
      <alignment horizontal="center" vertical="center"/>
    </xf>
    <xf numFmtId="1" fontId="0" fillId="0" borderId="27" xfId="1" applyNumberFormat="1" applyFont="1" applyFill="1" applyBorder="1" applyAlignment="1">
      <alignment horizontal="center" vertical="center"/>
    </xf>
    <xf numFmtId="0" fontId="0" fillId="0" borderId="42" xfId="0" applyFont="1" applyFill="1" applyBorder="1" applyAlignment="1">
      <alignment horizontal="center"/>
    </xf>
    <xf numFmtId="1" fontId="0" fillId="0" borderId="15" xfId="1" applyNumberFormat="1" applyFont="1" applyFill="1" applyBorder="1" applyAlignment="1">
      <alignment horizontal="center" vertical="center"/>
    </xf>
    <xf numFmtId="0" fontId="0" fillId="0" borderId="43" xfId="0" applyFont="1" applyFill="1" applyBorder="1" applyAlignment="1">
      <alignment horizontal="center"/>
    </xf>
    <xf numFmtId="0" fontId="14" fillId="0" borderId="6" xfId="0" applyFont="1" applyFill="1" applyBorder="1" applyAlignment="1">
      <alignment horizontal="left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/>
    </xf>
    <xf numFmtId="0" fontId="0" fillId="0" borderId="30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164" fontId="11" fillId="3" borderId="56" xfId="0" applyNumberFormat="1" applyFont="1" applyFill="1" applyBorder="1" applyAlignment="1">
      <alignment horizontal="center" vertical="center"/>
    </xf>
    <xf numFmtId="164" fontId="11" fillId="3" borderId="8" xfId="0" applyNumberFormat="1" applyFont="1" applyFill="1" applyBorder="1" applyAlignment="1">
      <alignment horizontal="center" vertical="center"/>
    </xf>
    <xf numFmtId="164" fontId="11" fillId="3" borderId="3" xfId="0" applyNumberFormat="1" applyFont="1" applyFill="1" applyBorder="1" applyAlignment="1">
      <alignment horizontal="center" vertical="center"/>
    </xf>
    <xf numFmtId="164" fontId="0" fillId="0" borderId="13" xfId="0" applyNumberFormat="1" applyFill="1" applyBorder="1" applyAlignment="1">
      <alignment horizontal="center" vertical="center" wrapText="1"/>
    </xf>
    <xf numFmtId="8" fontId="6" fillId="0" borderId="4" xfId="0" applyNumberFormat="1" applyFont="1" applyFill="1" applyBorder="1" applyAlignment="1">
      <alignment horizontal="center" vertical="center" wrapText="1"/>
    </xf>
    <xf numFmtId="0" fontId="11" fillId="3" borderId="48" xfId="0" applyFont="1" applyFill="1" applyBorder="1" applyAlignment="1">
      <alignment horizontal="center" vertical="center" wrapText="1"/>
    </xf>
    <xf numFmtId="0" fontId="0" fillId="0" borderId="44" xfId="0" applyFont="1" applyFill="1" applyBorder="1" applyAlignment="1">
      <alignment horizontal="center" vertical="center"/>
    </xf>
    <xf numFmtId="0" fontId="0" fillId="0" borderId="55" xfId="0" applyFont="1" applyFill="1" applyBorder="1" applyAlignment="1">
      <alignment horizontal="center" vertical="center"/>
    </xf>
    <xf numFmtId="0" fontId="0" fillId="0" borderId="48" xfId="0" applyFont="1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 wrapText="1"/>
    </xf>
    <xf numFmtId="0" fontId="26" fillId="0" borderId="0" xfId="0" applyFont="1" applyFill="1" applyAlignment="1">
      <alignment vertical="center"/>
    </xf>
    <xf numFmtId="0" fontId="11" fillId="3" borderId="4" xfId="0" applyFont="1" applyFill="1" applyBorder="1" applyAlignment="1">
      <alignment vertical="center" wrapText="1"/>
    </xf>
    <xf numFmtId="0" fontId="11" fillId="3" borderId="31" xfId="0" applyFont="1" applyFill="1" applyBorder="1" applyAlignment="1">
      <alignment vertical="center" wrapText="1"/>
    </xf>
    <xf numFmtId="0" fontId="0" fillId="3" borderId="16" xfId="0" applyFill="1" applyBorder="1" applyAlignment="1">
      <alignment vertical="center"/>
    </xf>
    <xf numFmtId="0" fontId="0" fillId="3" borderId="17" xfId="0" applyFill="1" applyBorder="1" applyAlignment="1">
      <alignment vertical="center"/>
    </xf>
    <xf numFmtId="0" fontId="0" fillId="0" borderId="0" xfId="0" applyAlignment="1"/>
    <xf numFmtId="0" fontId="0" fillId="0" borderId="0" xfId="0" applyFont="1" applyFill="1" applyAlignment="1"/>
    <xf numFmtId="0" fontId="1" fillId="0" borderId="40" xfId="0" applyFont="1" applyBorder="1" applyAlignment="1">
      <alignment vertical="center"/>
    </xf>
    <xf numFmtId="165" fontId="24" fillId="0" borderId="3" xfId="2" applyNumberFormat="1" applyFont="1" applyFill="1" applyBorder="1" applyAlignment="1">
      <alignment horizontal="center" vertical="center"/>
    </xf>
    <xf numFmtId="8" fontId="17" fillId="0" borderId="0" xfId="0" applyNumberFormat="1" applyFont="1" applyBorder="1" applyAlignment="1">
      <alignment vertical="center"/>
    </xf>
    <xf numFmtId="164" fontId="14" fillId="0" borderId="0" xfId="0" applyNumberFormat="1" applyFont="1" applyBorder="1" applyAlignment="1">
      <alignment vertical="center"/>
    </xf>
    <xf numFmtId="0" fontId="0" fillId="3" borderId="13" xfId="0" applyFill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44" fontId="0" fillId="0" borderId="13" xfId="2" applyFont="1" applyBorder="1" applyAlignment="1">
      <alignment horizontal="center" vertical="center" wrapText="1"/>
    </xf>
    <xf numFmtId="165" fontId="1" fillId="0" borderId="0" xfId="0" applyNumberFormat="1" applyFont="1" applyBorder="1" applyAlignment="1">
      <alignment vertical="center"/>
    </xf>
    <xf numFmtId="164" fontId="10" fillId="5" borderId="6" xfId="2" applyNumberFormat="1" applyFont="1" applyFill="1" applyBorder="1"/>
    <xf numFmtId="0" fontId="8" fillId="0" borderId="0" xfId="0" applyFont="1" applyFill="1" applyBorder="1" applyAlignment="1">
      <alignment vertical="center"/>
    </xf>
    <xf numFmtId="0" fontId="14" fillId="0" borderId="12" xfId="0" applyFont="1" applyFill="1" applyBorder="1" applyAlignment="1">
      <alignment horizontal="center" vertical="center" wrapText="1"/>
    </xf>
    <xf numFmtId="0" fontId="0" fillId="0" borderId="16" xfId="0" applyFont="1" applyFill="1" applyBorder="1" applyAlignment="1">
      <alignment horizontal="center" vertical="center"/>
    </xf>
    <xf numFmtId="0" fontId="0" fillId="0" borderId="19" xfId="0" applyFont="1" applyFill="1" applyBorder="1" applyAlignment="1">
      <alignment horizontal="center" vertical="center"/>
    </xf>
    <xf numFmtId="0" fontId="0" fillId="0" borderId="20" xfId="0" applyFont="1" applyFill="1" applyBorder="1" applyAlignment="1">
      <alignment horizontal="center" vertical="center"/>
    </xf>
    <xf numFmtId="0" fontId="11" fillId="3" borderId="27" xfId="0" applyFont="1" applyFill="1" applyBorder="1" applyAlignment="1">
      <alignment horizontal="center" vertical="center" wrapText="1"/>
    </xf>
    <xf numFmtId="0" fontId="11" fillId="3" borderId="29" xfId="0" applyFont="1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0" fillId="3" borderId="13" xfId="0" applyFont="1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center" vertical="center" wrapText="1"/>
    </xf>
    <xf numFmtId="164" fontId="6" fillId="0" borderId="7" xfId="0" applyNumberFormat="1" applyFont="1" applyFill="1" applyBorder="1" applyAlignment="1">
      <alignment horizontal="center" vertical="center" wrapText="1"/>
    </xf>
    <xf numFmtId="8" fontId="6" fillId="0" borderId="7" xfId="0" applyNumberFormat="1" applyFont="1" applyFill="1" applyBorder="1" applyAlignment="1">
      <alignment horizontal="center" vertical="center" wrapText="1"/>
    </xf>
    <xf numFmtId="8" fontId="16" fillId="0" borderId="7" xfId="0" applyNumberFormat="1" applyFont="1" applyFill="1" applyBorder="1" applyAlignment="1">
      <alignment horizontal="center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/>
    </xf>
    <xf numFmtId="0" fontId="0" fillId="0" borderId="0" xfId="0" applyAlignment="1">
      <alignment horizontal="center"/>
    </xf>
    <xf numFmtId="164" fontId="0" fillId="0" borderId="13" xfId="0" applyNumberFormat="1" applyFill="1" applyBorder="1" applyAlignment="1">
      <alignment horizontal="center"/>
    </xf>
    <xf numFmtId="0" fontId="11" fillId="3" borderId="4" xfId="0" applyFont="1" applyFill="1" applyBorder="1" applyAlignment="1"/>
    <xf numFmtId="0" fontId="11" fillId="3" borderId="31" xfId="0" applyFont="1" applyFill="1" applyBorder="1" applyAlignment="1"/>
    <xf numFmtId="0" fontId="11" fillId="3" borderId="5" xfId="0" applyFont="1" applyFill="1" applyBorder="1" applyAlignment="1"/>
    <xf numFmtId="0" fontId="11" fillId="3" borderId="36" xfId="0" applyFont="1" applyFill="1" applyBorder="1" applyAlignment="1">
      <alignment wrapText="1"/>
    </xf>
    <xf numFmtId="0" fontId="11" fillId="3" borderId="37" xfId="0" applyFont="1" applyFill="1" applyBorder="1" applyAlignment="1">
      <alignment wrapText="1"/>
    </xf>
    <xf numFmtId="0" fontId="11" fillId="3" borderId="51" xfId="0" applyFont="1" applyFill="1" applyBorder="1" applyAlignment="1">
      <alignment wrapText="1"/>
    </xf>
    <xf numFmtId="0" fontId="11" fillId="3" borderId="52" xfId="0" applyFont="1" applyFill="1" applyBorder="1" applyAlignment="1">
      <alignment wrapText="1"/>
    </xf>
    <xf numFmtId="0" fontId="0" fillId="3" borderId="36" xfId="0" applyFont="1" applyFill="1" applyBorder="1" applyAlignment="1">
      <alignment horizontal="center" vertical="center"/>
    </xf>
    <xf numFmtId="0" fontId="0" fillId="3" borderId="38" xfId="0" applyFont="1" applyFill="1" applyBorder="1" applyAlignment="1">
      <alignment horizontal="center" vertical="center"/>
    </xf>
    <xf numFmtId="0" fontId="11" fillId="3" borderId="61" xfId="0" applyFont="1" applyFill="1" applyBorder="1" applyAlignment="1">
      <alignment horizontal="center" vertical="center" wrapText="1"/>
    </xf>
    <xf numFmtId="1" fontId="0" fillId="0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164" fontId="0" fillId="0" borderId="13" xfId="0" applyNumberFormat="1" applyBorder="1" applyAlignment="1">
      <alignment vertical="center"/>
    </xf>
    <xf numFmtId="164" fontId="0" fillId="0" borderId="13" xfId="0" applyNumberFormat="1" applyBorder="1" applyAlignment="1">
      <alignment horizontal="right" vertical="center"/>
    </xf>
    <xf numFmtId="164" fontId="11" fillId="5" borderId="13" xfId="0" applyNumberFormat="1" applyFont="1" applyFill="1" applyBorder="1"/>
    <xf numFmtId="0" fontId="0" fillId="0" borderId="18" xfId="0" applyFont="1" applyFill="1" applyBorder="1" applyAlignment="1">
      <alignment horizontal="center" vertical="center"/>
    </xf>
    <xf numFmtId="0" fontId="0" fillId="0" borderId="35" xfId="0" applyFont="1" applyFill="1" applyBorder="1" applyAlignment="1">
      <alignment horizontal="center" vertical="center"/>
    </xf>
    <xf numFmtId="0" fontId="11" fillId="3" borderId="52" xfId="0" applyFont="1" applyFill="1" applyBorder="1" applyAlignment="1">
      <alignment horizontal="center" vertical="center" wrapText="1"/>
    </xf>
    <xf numFmtId="0" fontId="0" fillId="0" borderId="34" xfId="0" applyFont="1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 wrapText="1"/>
    </xf>
    <xf numFmtId="0" fontId="11" fillId="3" borderId="37" xfId="0" applyFont="1" applyFill="1" applyBorder="1" applyAlignment="1">
      <alignment horizontal="center" vertical="center" wrapText="1"/>
    </xf>
    <xf numFmtId="164" fontId="11" fillId="3" borderId="30" xfId="0" applyNumberFormat="1" applyFont="1" applyFill="1" applyBorder="1" applyAlignment="1">
      <alignment horizontal="center"/>
    </xf>
    <xf numFmtId="0" fontId="0" fillId="0" borderId="27" xfId="0" applyFont="1" applyFill="1" applyBorder="1" applyAlignment="1">
      <alignment horizontal="center" vertical="center"/>
    </xf>
    <xf numFmtId="164" fontId="11" fillId="3" borderId="56" xfId="0" applyNumberFormat="1" applyFont="1" applyFill="1" applyBorder="1" applyAlignment="1">
      <alignment horizontal="center"/>
    </xf>
    <xf numFmtId="0" fontId="11" fillId="3" borderId="3" xfId="0" applyFont="1" applyFill="1" applyBorder="1" applyAlignment="1">
      <alignment horizontal="center" vertical="center" wrapText="1"/>
    </xf>
    <xf numFmtId="164" fontId="0" fillId="0" borderId="53" xfId="0" applyNumberFormat="1" applyBorder="1" applyAlignment="1">
      <alignment horizontal="center"/>
    </xf>
    <xf numFmtId="0" fontId="0" fillId="3" borderId="13" xfId="0" applyFill="1" applyBorder="1" applyAlignment="1">
      <alignment horizontal="center" vertical="center" wrapText="1"/>
    </xf>
    <xf numFmtId="0" fontId="0" fillId="3" borderId="13" xfId="0" applyFont="1" applyFill="1" applyBorder="1" applyAlignment="1">
      <alignment horizontal="center" vertical="center" wrapText="1"/>
    </xf>
    <xf numFmtId="1" fontId="0" fillId="0" borderId="13" xfId="0" applyNumberFormat="1" applyFill="1" applyBorder="1" applyAlignment="1">
      <alignment horizontal="center" vertical="center" wrapText="1"/>
    </xf>
    <xf numFmtId="0" fontId="0" fillId="3" borderId="13" xfId="0" applyFont="1" applyFill="1" applyBorder="1" applyAlignment="1">
      <alignment vertical="center" wrapText="1"/>
    </xf>
    <xf numFmtId="0" fontId="11" fillId="3" borderId="22" xfId="0" applyFont="1" applyFill="1" applyBorder="1" applyAlignment="1">
      <alignment vertical="center" wrapText="1"/>
    </xf>
    <xf numFmtId="0" fontId="0" fillId="3" borderId="16" xfId="0" applyFill="1" applyBorder="1" applyAlignment="1">
      <alignment vertical="center" wrapText="1"/>
    </xf>
    <xf numFmtId="8" fontId="14" fillId="2" borderId="5" xfId="0" applyNumberFormat="1" applyFont="1" applyFill="1" applyBorder="1" applyAlignment="1">
      <alignment horizontal="center" vertical="center" wrapText="1"/>
    </xf>
    <xf numFmtId="164" fontId="4" fillId="2" borderId="3" xfId="0" applyNumberFormat="1" applyFont="1" applyFill="1" applyBorder="1" applyAlignment="1">
      <alignment horizontal="center" vertical="center" wrapText="1"/>
    </xf>
    <xf numFmtId="164" fontId="6" fillId="2" borderId="7" xfId="0" applyNumberFormat="1" applyFont="1" applyFill="1" applyBorder="1" applyAlignment="1">
      <alignment horizontal="center" vertical="center" wrapText="1"/>
    </xf>
    <xf numFmtId="164" fontId="4" fillId="2" borderId="7" xfId="0" applyNumberFormat="1" applyFont="1" applyFill="1" applyBorder="1" applyAlignment="1">
      <alignment horizontal="center" vertical="center" wrapText="1"/>
    </xf>
    <xf numFmtId="164" fontId="6" fillId="2" borderId="3" xfId="0" applyNumberFormat="1" applyFont="1" applyFill="1" applyBorder="1" applyAlignment="1">
      <alignment horizontal="center" vertical="center" wrapText="1"/>
    </xf>
    <xf numFmtId="166" fontId="0" fillId="0" borderId="0" xfId="0" applyNumberFormat="1"/>
    <xf numFmtId="2" fontId="0" fillId="0" borderId="0" xfId="0" applyNumberFormat="1"/>
    <xf numFmtId="0" fontId="11" fillId="3" borderId="49" xfId="0" applyFont="1" applyFill="1" applyBorder="1" applyAlignment="1">
      <alignment horizontal="center" vertical="center" wrapText="1"/>
    </xf>
    <xf numFmtId="9" fontId="0" fillId="0" borderId="21" xfId="1" applyFont="1" applyFill="1" applyBorder="1" applyAlignment="1">
      <alignment horizontal="center" vertical="center"/>
    </xf>
    <xf numFmtId="9" fontId="0" fillId="0" borderId="46" xfId="1" applyFont="1" applyFill="1" applyBorder="1" applyAlignment="1">
      <alignment horizontal="center" vertical="center"/>
    </xf>
    <xf numFmtId="9" fontId="0" fillId="0" borderId="41" xfId="1" applyFont="1" applyFill="1" applyBorder="1" applyAlignment="1">
      <alignment horizontal="center" vertical="center"/>
    </xf>
    <xf numFmtId="9" fontId="0" fillId="0" borderId="42" xfId="1" applyFont="1" applyFill="1" applyBorder="1" applyAlignment="1">
      <alignment horizontal="center" vertical="center"/>
    </xf>
    <xf numFmtId="0" fontId="11" fillId="3" borderId="50" xfId="0" applyFont="1" applyFill="1" applyBorder="1" applyAlignment="1">
      <alignment horizontal="center" vertical="center" wrapText="1"/>
    </xf>
    <xf numFmtId="0" fontId="37" fillId="0" borderId="0" xfId="0" applyFont="1"/>
    <xf numFmtId="0" fontId="37" fillId="0" borderId="0" xfId="0" applyFont="1" applyAlignment="1">
      <alignment wrapText="1"/>
    </xf>
    <xf numFmtId="0" fontId="37" fillId="0" borderId="0" xfId="0" applyFont="1" applyFill="1"/>
    <xf numFmtId="0" fontId="37" fillId="0" borderId="64" xfId="0" applyFont="1" applyFill="1" applyBorder="1" applyAlignment="1">
      <alignment horizontal="left" vertical="center"/>
    </xf>
    <xf numFmtId="0" fontId="38" fillId="0" borderId="0" xfId="0" applyFont="1"/>
    <xf numFmtId="0" fontId="38" fillId="0" borderId="0" xfId="0" applyFont="1" applyFill="1"/>
    <xf numFmtId="164" fontId="24" fillId="0" borderId="7" xfId="2" applyNumberFormat="1" applyFont="1" applyFill="1" applyBorder="1" applyAlignment="1">
      <alignment horizontal="center" vertical="center"/>
    </xf>
    <xf numFmtId="7" fontId="24" fillId="0" borderId="7" xfId="2" applyNumberFormat="1" applyFont="1" applyFill="1" applyBorder="1" applyAlignment="1">
      <alignment horizontal="center" vertical="center"/>
    </xf>
    <xf numFmtId="0" fontId="39" fillId="0" borderId="0" xfId="0" applyFont="1" applyFill="1"/>
    <xf numFmtId="0" fontId="40" fillId="0" borderId="0" xfId="0" applyFont="1" applyFill="1" applyAlignment="1">
      <alignment vertical="center"/>
    </xf>
    <xf numFmtId="0" fontId="41" fillId="0" borderId="0" xfId="0" applyFont="1" applyFill="1" applyAlignment="1"/>
    <xf numFmtId="0" fontId="39" fillId="0" borderId="0" xfId="0" applyFont="1" applyFill="1" applyAlignment="1"/>
    <xf numFmtId="0" fontId="42" fillId="3" borderId="0" xfId="0" applyFont="1" applyFill="1" applyBorder="1" applyAlignment="1">
      <alignment horizontal="center" vertical="center"/>
    </xf>
    <xf numFmtId="0" fontId="42" fillId="2" borderId="0" xfId="0" applyFont="1" applyFill="1" applyBorder="1" applyAlignment="1">
      <alignment vertical="center"/>
    </xf>
    <xf numFmtId="164" fontId="42" fillId="2" borderId="0" xfId="0" applyNumberFormat="1" applyFont="1" applyFill="1" applyBorder="1" applyAlignment="1">
      <alignment vertical="center"/>
    </xf>
    <xf numFmtId="0" fontId="42" fillId="0" borderId="0" xfId="0" applyFont="1" applyBorder="1" applyAlignment="1">
      <alignment vertical="center"/>
    </xf>
    <xf numFmtId="0" fontId="42" fillId="0" borderId="0" xfId="0" applyFont="1" applyBorder="1" applyAlignment="1">
      <alignment vertical="center" wrapText="1"/>
    </xf>
    <xf numFmtId="8" fontId="42" fillId="0" borderId="0" xfId="0" applyNumberFormat="1" applyFont="1" applyBorder="1" applyAlignment="1">
      <alignment vertical="center"/>
    </xf>
    <xf numFmtId="0" fontId="39" fillId="0" borderId="0" xfId="0" applyFont="1"/>
    <xf numFmtId="0" fontId="43" fillId="0" borderId="0" xfId="0" applyFont="1" applyAlignment="1">
      <alignment vertical="center"/>
    </xf>
    <xf numFmtId="0" fontId="39" fillId="0" borderId="0" xfId="0" applyFont="1" applyAlignment="1">
      <alignment wrapText="1"/>
    </xf>
    <xf numFmtId="9" fontId="0" fillId="0" borderId="0" xfId="0" applyNumberFormat="1" applyFont="1" applyFill="1"/>
    <xf numFmtId="0" fontId="39" fillId="0" borderId="0" xfId="0" applyFont="1" applyAlignment="1"/>
    <xf numFmtId="0" fontId="37" fillId="0" borderId="0" xfId="0" applyFont="1" applyAlignment="1"/>
    <xf numFmtId="0" fontId="44" fillId="0" borderId="0" xfId="0" applyFont="1"/>
    <xf numFmtId="0" fontId="45" fillId="0" borderId="0" xfId="0" applyFont="1" applyBorder="1" applyAlignment="1">
      <alignment horizontal="left" vertical="center"/>
    </xf>
    <xf numFmtId="164" fontId="0" fillId="0" borderId="13" xfId="0" applyNumberFormat="1" applyBorder="1" applyAlignment="1">
      <alignment horizontal="center" vertical="center" wrapText="1"/>
    </xf>
    <xf numFmtId="164" fontId="9" fillId="0" borderId="13" xfId="0" applyNumberFormat="1" applyFont="1" applyBorder="1" applyAlignment="1">
      <alignment horizontal="center"/>
    </xf>
    <xf numFmtId="0" fontId="42" fillId="2" borderId="0" xfId="0" applyFont="1" applyFill="1" applyBorder="1" applyAlignment="1">
      <alignment vertical="center" wrapText="1"/>
    </xf>
    <xf numFmtId="0" fontId="24" fillId="7" borderId="5" xfId="0" applyFont="1" applyFill="1" applyBorder="1" applyAlignment="1">
      <alignment horizontal="center" vertical="center"/>
    </xf>
    <xf numFmtId="0" fontId="24" fillId="7" borderId="7" xfId="0" applyFont="1" applyFill="1" applyBorder="1" applyAlignment="1">
      <alignment horizontal="center" vertical="center"/>
    </xf>
    <xf numFmtId="0" fontId="47" fillId="3" borderId="21" xfId="0" applyFont="1" applyFill="1" applyBorder="1" applyAlignment="1">
      <alignment horizontal="center" vertical="center" wrapText="1"/>
    </xf>
    <xf numFmtId="0" fontId="47" fillId="3" borderId="46" xfId="0" applyFont="1" applyFill="1" applyBorder="1" applyAlignment="1">
      <alignment horizontal="center" vertical="center" wrapText="1"/>
    </xf>
    <xf numFmtId="0" fontId="32" fillId="7" borderId="41" xfId="0" applyFont="1" applyFill="1" applyBorder="1" applyAlignment="1">
      <alignment horizontal="center" vertical="center" wrapText="1"/>
    </xf>
    <xf numFmtId="6" fontId="33" fillId="2" borderId="42" xfId="0" applyNumberFormat="1" applyFont="1" applyFill="1" applyBorder="1" applyAlignment="1">
      <alignment horizontal="center" vertical="center" wrapText="1"/>
    </xf>
    <xf numFmtId="164" fontId="49" fillId="8" borderId="38" xfId="0" applyNumberFormat="1" applyFont="1" applyFill="1" applyBorder="1" applyAlignment="1">
      <alignment horizontal="right" vertical="center"/>
    </xf>
    <xf numFmtId="0" fontId="0" fillId="3" borderId="13" xfId="0" applyFill="1" applyBorder="1" applyAlignment="1">
      <alignment horizontal="center" vertical="center" wrapText="1"/>
    </xf>
    <xf numFmtId="164" fontId="0" fillId="0" borderId="13" xfId="2" applyNumberFormat="1" applyFont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/>
    </xf>
    <xf numFmtId="14" fontId="11" fillId="0" borderId="13" xfId="0" applyNumberFormat="1" applyFont="1" applyFill="1" applyBorder="1" applyAlignment="1">
      <alignment horizontal="center"/>
    </xf>
    <xf numFmtId="0" fontId="11" fillId="7" borderId="13" xfId="0" applyFont="1" applyFill="1" applyBorder="1" applyAlignment="1">
      <alignment horizontal="center" wrapText="1"/>
    </xf>
    <xf numFmtId="0" fontId="11" fillId="7" borderId="13" xfId="0" applyFont="1" applyFill="1" applyBorder="1" applyAlignment="1">
      <alignment horizontal="center"/>
    </xf>
    <xf numFmtId="1" fontId="0" fillId="0" borderId="13" xfId="1" applyNumberFormat="1" applyFont="1" applyBorder="1" applyAlignment="1">
      <alignment horizontal="center" vertical="center" wrapText="1"/>
    </xf>
    <xf numFmtId="0" fontId="50" fillId="0" borderId="13" xfId="0" applyFont="1" applyFill="1" applyBorder="1" applyAlignment="1">
      <alignment horizontal="center"/>
    </xf>
    <xf numFmtId="14" fontId="50" fillId="0" borderId="13" xfId="0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39" xfId="0" applyFont="1" applyFill="1" applyBorder="1" applyAlignment="1">
      <alignment horizontal="center" vertical="center" wrapText="1"/>
    </xf>
    <xf numFmtId="0" fontId="11" fillId="3" borderId="26" xfId="0" applyFont="1" applyFill="1" applyBorder="1" applyAlignment="1">
      <alignment horizontal="center" vertical="center" wrapText="1"/>
    </xf>
    <xf numFmtId="0" fontId="35" fillId="0" borderId="12" xfId="0" applyFont="1" applyFill="1" applyBorder="1" applyAlignment="1">
      <alignment horizontal="left" wrapText="1"/>
    </xf>
    <xf numFmtId="0" fontId="35" fillId="0" borderId="0" xfId="0" applyFont="1" applyFill="1" applyAlignment="1">
      <alignment horizontal="left"/>
    </xf>
    <xf numFmtId="0" fontId="28" fillId="0" borderId="55" xfId="0" applyFont="1" applyFill="1" applyBorder="1" applyAlignment="1">
      <alignment horizontal="left" vertical="center"/>
    </xf>
    <xf numFmtId="0" fontId="28" fillId="0" borderId="18" xfId="0" applyFont="1" applyFill="1" applyBorder="1" applyAlignment="1">
      <alignment horizontal="left" vertical="center"/>
    </xf>
    <xf numFmtId="0" fontId="11" fillId="3" borderId="14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left" wrapText="1"/>
    </xf>
    <xf numFmtId="0" fontId="0" fillId="10" borderId="30" xfId="0" applyFill="1" applyBorder="1" applyAlignment="1">
      <alignment horizontal="center"/>
    </xf>
    <xf numFmtId="0" fontId="0" fillId="10" borderId="1" xfId="0" applyFill="1" applyBorder="1" applyAlignment="1">
      <alignment horizontal="center" vertical="center" wrapText="1"/>
    </xf>
    <xf numFmtId="0" fontId="0" fillId="10" borderId="67" xfId="0" applyFill="1" applyBorder="1" applyAlignment="1">
      <alignment horizontal="center"/>
    </xf>
    <xf numFmtId="0" fontId="11" fillId="10" borderId="3" xfId="0" applyFont="1" applyFill="1" applyBorder="1" applyAlignment="1">
      <alignment horizontal="center"/>
    </xf>
    <xf numFmtId="2" fontId="0" fillId="0" borderId="64" xfId="0" applyNumberFormat="1" applyFill="1" applyBorder="1" applyAlignment="1">
      <alignment horizontal="center" vertical="center" wrapText="1"/>
    </xf>
    <xf numFmtId="0" fontId="0" fillId="2" borderId="49" xfId="0" applyFont="1" applyFill="1" applyBorder="1" applyAlignment="1">
      <alignment horizontal="center" vertical="center"/>
    </xf>
    <xf numFmtId="0" fontId="0" fillId="2" borderId="50" xfId="0" applyFont="1" applyFill="1" applyBorder="1" applyAlignment="1">
      <alignment horizontal="center" vertical="center"/>
    </xf>
    <xf numFmtId="0" fontId="0" fillId="2" borderId="24" xfId="0" applyFont="1" applyFill="1" applyBorder="1" applyAlignment="1">
      <alignment horizontal="center" vertical="center"/>
    </xf>
    <xf numFmtId="1" fontId="0" fillId="2" borderId="13" xfId="1" applyNumberFormat="1" applyFont="1" applyFill="1" applyBorder="1" applyAlignment="1">
      <alignment horizontal="center" vertical="center"/>
    </xf>
    <xf numFmtId="0" fontId="0" fillId="2" borderId="13" xfId="0" applyFont="1" applyFill="1" applyBorder="1" applyAlignment="1">
      <alignment horizontal="center"/>
    </xf>
    <xf numFmtId="0" fontId="0" fillId="2" borderId="41" xfId="0" applyFont="1" applyFill="1" applyBorder="1" applyAlignment="1">
      <alignment horizontal="center"/>
    </xf>
    <xf numFmtId="9" fontId="0" fillId="2" borderId="24" xfId="1" applyFont="1" applyFill="1" applyBorder="1" applyAlignment="1">
      <alignment horizontal="center" vertical="center"/>
    </xf>
    <xf numFmtId="9" fontId="0" fillId="2" borderId="41" xfId="1" applyFont="1" applyFill="1" applyBorder="1" applyAlignment="1">
      <alignment horizontal="center" vertical="center"/>
    </xf>
    <xf numFmtId="0" fontId="0" fillId="2" borderId="24" xfId="0" applyFont="1" applyFill="1" applyBorder="1" applyAlignment="1">
      <alignment horizontal="center"/>
    </xf>
    <xf numFmtId="0" fontId="16" fillId="0" borderId="13" xfId="0" applyFont="1" applyFill="1" applyBorder="1" applyAlignment="1">
      <alignment horizontal="center"/>
    </xf>
    <xf numFmtId="14" fontId="16" fillId="0" borderId="13" xfId="0" applyNumberFormat="1" applyFont="1" applyFill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51" fillId="2" borderId="0" xfId="0" applyNumberFormat="1" applyFont="1" applyFill="1" applyBorder="1" applyAlignment="1">
      <alignment vertical="center"/>
    </xf>
    <xf numFmtId="0" fontId="52" fillId="0" borderId="0" xfId="0" applyFont="1" applyAlignment="1">
      <alignment wrapText="1"/>
    </xf>
    <xf numFmtId="0" fontId="52" fillId="0" borderId="0" xfId="0" applyFont="1"/>
    <xf numFmtId="0" fontId="0" fillId="3" borderId="13" xfId="0" applyFill="1" applyBorder="1" applyAlignment="1">
      <alignment horizontal="center" vertical="center" wrapText="1"/>
    </xf>
    <xf numFmtId="0" fontId="0" fillId="3" borderId="13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top" wrapText="1"/>
    </xf>
    <xf numFmtId="0" fontId="0" fillId="2" borderId="13" xfId="0" applyFill="1" applyBorder="1" applyAlignment="1">
      <alignment horizontal="center" vertical="center" wrapText="1"/>
    </xf>
    <xf numFmtId="164" fontId="0" fillId="2" borderId="13" xfId="0" applyNumberFormat="1" applyFill="1" applyBorder="1" applyAlignment="1">
      <alignment horizontal="right" vertical="center"/>
    </xf>
    <xf numFmtId="0" fontId="0" fillId="3" borderId="13" xfId="0" applyFill="1" applyBorder="1" applyAlignment="1">
      <alignment vertical="center"/>
    </xf>
    <xf numFmtId="0" fontId="14" fillId="2" borderId="36" xfId="0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8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14" fillId="0" borderId="39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4" fillId="0" borderId="40" xfId="0" applyFont="1" applyFill="1" applyBorder="1" applyAlignment="1">
      <alignment horizontal="center" vertical="center" wrapText="1"/>
    </xf>
    <xf numFmtId="0" fontId="14" fillId="0" borderId="32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36" xfId="0" applyFont="1" applyFill="1" applyBorder="1" applyAlignment="1">
      <alignment horizontal="center" vertical="center" wrapText="1"/>
    </xf>
    <xf numFmtId="0" fontId="14" fillId="0" borderId="38" xfId="0" applyFont="1" applyFill="1" applyBorder="1" applyAlignment="1">
      <alignment horizontal="center" vertical="center" wrapText="1"/>
    </xf>
    <xf numFmtId="0" fontId="14" fillId="0" borderId="36" xfId="0" applyFont="1" applyFill="1" applyBorder="1" applyAlignment="1">
      <alignment horizontal="left" vertical="center" wrapText="1"/>
    </xf>
    <xf numFmtId="0" fontId="14" fillId="0" borderId="38" xfId="0" applyFont="1" applyFill="1" applyBorder="1" applyAlignment="1">
      <alignment horizontal="left" vertical="center" wrapText="1"/>
    </xf>
    <xf numFmtId="0" fontId="14" fillId="0" borderId="39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4" fillId="0" borderId="12" xfId="0" applyFont="1" applyFill="1" applyBorder="1" applyAlignment="1">
      <alignment horizontal="left" vertical="center" wrapText="1"/>
    </xf>
    <xf numFmtId="0" fontId="14" fillId="0" borderId="40" xfId="0" applyFont="1" applyFill="1" applyBorder="1" applyAlignment="1">
      <alignment horizontal="left" vertical="center" wrapText="1"/>
    </xf>
    <xf numFmtId="0" fontId="14" fillId="0" borderId="32" xfId="0" applyFont="1" applyFill="1" applyBorder="1" applyAlignment="1">
      <alignment horizontal="left" vertical="center" wrapText="1"/>
    </xf>
    <xf numFmtId="0" fontId="14" fillId="0" borderId="7" xfId="0" applyFont="1" applyFill="1" applyBorder="1" applyAlignment="1">
      <alignment horizontal="left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15" fillId="8" borderId="8" xfId="0" applyFont="1" applyFill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 vertical="center" wrapText="1"/>
    </xf>
    <xf numFmtId="0" fontId="15" fillId="8" borderId="10" xfId="0" applyFont="1" applyFill="1" applyBorder="1" applyAlignment="1">
      <alignment horizontal="center" vertical="center" wrapText="1"/>
    </xf>
    <xf numFmtId="0" fontId="15" fillId="8" borderId="11" xfId="0" applyFont="1" applyFill="1" applyBorder="1" applyAlignment="1">
      <alignment horizontal="center" vertical="center" wrapText="1"/>
    </xf>
    <xf numFmtId="0" fontId="14" fillId="0" borderId="54" xfId="0" applyFont="1" applyFill="1" applyBorder="1" applyAlignment="1">
      <alignment horizontal="left" vertical="center" wrapText="1"/>
    </xf>
    <xf numFmtId="0" fontId="14" fillId="0" borderId="28" xfId="0" applyFont="1" applyFill="1" applyBorder="1" applyAlignment="1">
      <alignment horizontal="left" vertical="center" wrapText="1"/>
    </xf>
    <xf numFmtId="0" fontId="35" fillId="0" borderId="12" xfId="0" applyFont="1" applyFill="1" applyBorder="1" applyAlignment="1">
      <alignment horizontal="left" vertical="center" wrapText="1"/>
    </xf>
    <xf numFmtId="0" fontId="35" fillId="0" borderId="0" xfId="0" applyFont="1" applyFill="1" applyBorder="1" applyAlignment="1">
      <alignment horizontal="left" vertical="center" wrapText="1"/>
    </xf>
    <xf numFmtId="164" fontId="36" fillId="2" borderId="12" xfId="0" applyNumberFormat="1" applyFont="1" applyFill="1" applyBorder="1" applyAlignment="1">
      <alignment horizontal="left" vertical="center" wrapText="1"/>
    </xf>
    <xf numFmtId="164" fontId="36" fillId="2" borderId="0" xfId="0" applyNumberFormat="1" applyFont="1" applyFill="1" applyBorder="1" applyAlignment="1">
      <alignment horizontal="left" vertical="center"/>
    </xf>
    <xf numFmtId="0" fontId="16" fillId="0" borderId="39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16" fillId="0" borderId="32" xfId="0" applyFont="1" applyFill="1" applyBorder="1" applyAlignment="1">
      <alignment horizontal="left" vertical="center" wrapText="1"/>
    </xf>
    <xf numFmtId="0" fontId="16" fillId="0" borderId="7" xfId="0" applyFont="1" applyFill="1" applyBorder="1" applyAlignment="1">
      <alignment horizontal="left" vertical="center" wrapText="1"/>
    </xf>
    <xf numFmtId="0" fontId="14" fillId="0" borderId="4" xfId="0" applyFont="1" applyFill="1" applyBorder="1" applyAlignment="1">
      <alignment horizontal="left" vertical="center" wrapText="1"/>
    </xf>
    <xf numFmtId="0" fontId="14" fillId="0" borderId="5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8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32" fillId="7" borderId="49" xfId="0" applyFont="1" applyFill="1" applyBorder="1" applyAlignment="1">
      <alignment horizontal="center" vertical="center" wrapText="1"/>
    </xf>
    <xf numFmtId="0" fontId="32" fillId="7" borderId="54" xfId="0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23" fillId="0" borderId="33" xfId="0" applyFont="1" applyBorder="1" applyAlignment="1">
      <alignment vertical="center"/>
    </xf>
    <xf numFmtId="0" fontId="46" fillId="3" borderId="1" xfId="0" applyFont="1" applyFill="1" applyBorder="1" applyAlignment="1">
      <alignment horizontal="center" vertical="center" wrapText="1"/>
    </xf>
    <xf numFmtId="0" fontId="46" fillId="3" borderId="8" xfId="0" applyFont="1" applyFill="1" applyBorder="1" applyAlignment="1">
      <alignment horizontal="center" vertical="center" wrapText="1"/>
    </xf>
    <xf numFmtId="0" fontId="46" fillId="3" borderId="6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/>
    </xf>
    <xf numFmtId="0" fontId="16" fillId="0" borderId="9" xfId="0" applyFont="1" applyBorder="1" applyAlignment="1">
      <alignment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11" fillId="3" borderId="39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44" xfId="0" applyFont="1" applyFill="1" applyBorder="1" applyAlignment="1">
      <alignment horizontal="center" vertical="center"/>
    </xf>
    <xf numFmtId="0" fontId="11" fillId="3" borderId="45" xfId="0" applyFont="1" applyFill="1" applyBorder="1" applyAlignment="1">
      <alignment horizontal="center" vertical="center"/>
    </xf>
    <xf numFmtId="0" fontId="11" fillId="3" borderId="22" xfId="0" applyFont="1" applyFill="1" applyBorder="1" applyAlignment="1">
      <alignment horizontal="center" vertical="center"/>
    </xf>
    <xf numFmtId="0" fontId="11" fillId="3" borderId="23" xfId="0" applyFont="1" applyFill="1" applyBorder="1" applyAlignment="1">
      <alignment horizontal="center" vertical="center"/>
    </xf>
    <xf numFmtId="0" fontId="11" fillId="3" borderId="47" xfId="0" applyFont="1" applyFill="1" applyBorder="1" applyAlignment="1">
      <alignment horizontal="center" vertical="center"/>
    </xf>
    <xf numFmtId="164" fontId="11" fillId="3" borderId="24" xfId="0" applyNumberFormat="1" applyFont="1" applyFill="1" applyBorder="1" applyAlignment="1">
      <alignment horizontal="center"/>
    </xf>
    <xf numFmtId="164" fontId="11" fillId="3" borderId="41" xfId="0" applyNumberFormat="1" applyFont="1" applyFill="1" applyBorder="1" applyAlignment="1">
      <alignment horizontal="center"/>
    </xf>
    <xf numFmtId="0" fontId="48" fillId="8" borderId="4" xfId="0" applyFont="1" applyFill="1" applyBorder="1" applyAlignment="1">
      <alignment horizontal="center" vertical="center"/>
    </xf>
    <xf numFmtId="0" fontId="48" fillId="8" borderId="52" xfId="0" applyFont="1" applyFill="1" applyBorder="1" applyAlignment="1">
      <alignment horizontal="center" vertical="center"/>
    </xf>
    <xf numFmtId="0" fontId="28" fillId="0" borderId="55" xfId="0" applyFont="1" applyFill="1" applyBorder="1" applyAlignment="1">
      <alignment horizontal="left" vertical="center"/>
    </xf>
    <xf numFmtId="0" fontId="28" fillId="0" borderId="18" xfId="0" applyFont="1" applyFill="1" applyBorder="1" applyAlignment="1">
      <alignment horizontal="left" vertical="center"/>
    </xf>
    <xf numFmtId="0" fontId="18" fillId="8" borderId="4" xfId="0" applyFont="1" applyFill="1" applyBorder="1" applyAlignment="1">
      <alignment horizontal="center" vertical="center" wrapText="1"/>
    </xf>
    <xf numFmtId="0" fontId="18" fillId="8" borderId="52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11" fillId="3" borderId="31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31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1" fillId="3" borderId="66" xfId="0" applyFont="1" applyFill="1" applyBorder="1" applyAlignment="1">
      <alignment horizontal="center" vertical="center" wrapText="1"/>
    </xf>
    <xf numFmtId="0" fontId="11" fillId="3" borderId="54" xfId="0" applyFont="1" applyFill="1" applyBorder="1" applyAlignment="1">
      <alignment horizontal="center" vertical="center" wrapText="1"/>
    </xf>
    <xf numFmtId="0" fontId="11" fillId="3" borderId="22" xfId="0" applyFont="1" applyFill="1" applyBorder="1" applyAlignment="1">
      <alignment horizontal="center" vertical="center" wrapText="1"/>
    </xf>
    <xf numFmtId="0" fontId="11" fillId="3" borderId="45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0" fontId="18" fillId="0" borderId="40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31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28" fillId="0" borderId="44" xfId="0" applyFont="1" applyFill="1" applyBorder="1" applyAlignment="1">
      <alignment horizontal="left" vertical="center"/>
    </xf>
    <xf numFmtId="0" fontId="28" fillId="0" borderId="45" xfId="0" applyFont="1" applyFill="1" applyBorder="1" applyAlignment="1">
      <alignment horizontal="left" vertical="center"/>
    </xf>
    <xf numFmtId="0" fontId="18" fillId="8" borderId="4" xfId="0" applyFont="1" applyFill="1" applyBorder="1" applyAlignment="1">
      <alignment horizontal="center" vertical="center"/>
    </xf>
    <xf numFmtId="0" fontId="18" fillId="8" borderId="52" xfId="0" applyFont="1" applyFill="1" applyBorder="1" applyAlignment="1">
      <alignment horizontal="center" vertical="center"/>
    </xf>
    <xf numFmtId="0" fontId="28" fillId="0" borderId="44" xfId="0" applyFont="1" applyFill="1" applyBorder="1" applyAlignment="1">
      <alignment horizontal="center" vertical="center"/>
    </xf>
    <xf numFmtId="0" fontId="28" fillId="0" borderId="45" xfId="0" applyFont="1" applyFill="1" applyBorder="1" applyAlignment="1">
      <alignment horizontal="center" vertical="center"/>
    </xf>
    <xf numFmtId="0" fontId="28" fillId="0" borderId="55" xfId="0" applyFont="1" applyFill="1" applyBorder="1" applyAlignment="1">
      <alignment horizontal="center" vertical="center"/>
    </xf>
    <xf numFmtId="0" fontId="28" fillId="0" borderId="18" xfId="0" applyFont="1" applyFill="1" applyBorder="1" applyAlignment="1">
      <alignment horizontal="center" vertical="center"/>
    </xf>
    <xf numFmtId="0" fontId="11" fillId="3" borderId="39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11" fillId="3" borderId="40" xfId="0" applyFont="1" applyFill="1" applyBorder="1" applyAlignment="1">
      <alignment horizontal="center" vertical="center" wrapText="1"/>
    </xf>
    <xf numFmtId="164" fontId="11" fillId="3" borderId="44" xfId="0" applyNumberFormat="1" applyFont="1" applyFill="1" applyBorder="1" applyAlignment="1">
      <alignment horizontal="center"/>
    </xf>
    <xf numFmtId="164" fontId="11" fillId="3" borderId="47" xfId="0" applyNumberFormat="1" applyFont="1" applyFill="1" applyBorder="1" applyAlignment="1">
      <alignment horizontal="center"/>
    </xf>
    <xf numFmtId="164" fontId="11" fillId="3" borderId="55" xfId="0" applyNumberFormat="1" applyFont="1" applyFill="1" applyBorder="1" applyAlignment="1">
      <alignment horizontal="center"/>
    </xf>
    <xf numFmtId="164" fontId="11" fillId="3" borderId="59" xfId="0" applyNumberFormat="1" applyFont="1" applyFill="1" applyBorder="1" applyAlignment="1">
      <alignment horizontal="center"/>
    </xf>
    <xf numFmtId="0" fontId="11" fillId="3" borderId="32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28" fillId="0" borderId="48" xfId="0" applyFont="1" applyFill="1" applyBorder="1" applyAlignment="1">
      <alignment horizontal="center" vertical="center"/>
    </xf>
    <xf numFmtId="0" fontId="28" fillId="0" borderId="61" xfId="0" applyFont="1" applyFill="1" applyBorder="1" applyAlignment="1">
      <alignment horizontal="center" vertical="center"/>
    </xf>
    <xf numFmtId="0" fontId="11" fillId="3" borderId="23" xfId="0" applyFont="1" applyFill="1" applyBorder="1" applyAlignment="1">
      <alignment horizontal="center" vertical="center" wrapText="1"/>
    </xf>
    <xf numFmtId="0" fontId="11" fillId="3" borderId="47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 wrapText="1"/>
    </xf>
    <xf numFmtId="0" fontId="0" fillId="10" borderId="8" xfId="0" applyFill="1" applyBorder="1" applyAlignment="1">
      <alignment horizontal="center" vertical="center" wrapText="1"/>
    </xf>
    <xf numFmtId="0" fontId="11" fillId="3" borderId="44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wrapText="1"/>
    </xf>
    <xf numFmtId="0" fontId="11" fillId="3" borderId="31" xfId="0" applyFont="1" applyFill="1" applyBorder="1" applyAlignment="1">
      <alignment horizontal="center" wrapText="1"/>
    </xf>
    <xf numFmtId="164" fontId="11" fillId="3" borderId="32" xfId="0" applyNumberFormat="1" applyFont="1" applyFill="1" applyBorder="1" applyAlignment="1">
      <alignment horizontal="center"/>
    </xf>
    <xf numFmtId="164" fontId="11" fillId="3" borderId="7" xfId="0" applyNumberFormat="1" applyFont="1" applyFill="1" applyBorder="1" applyAlignment="1">
      <alignment horizontal="center"/>
    </xf>
    <xf numFmtId="0" fontId="48" fillId="10" borderId="1" xfId="0" applyFont="1" applyFill="1" applyBorder="1" applyAlignment="1">
      <alignment horizontal="center" vertical="center" wrapText="1"/>
    </xf>
    <xf numFmtId="0" fontId="48" fillId="10" borderId="8" xfId="0" applyFont="1" applyFill="1" applyBorder="1" applyAlignment="1">
      <alignment horizontal="center" vertical="center" wrapText="1"/>
    </xf>
    <xf numFmtId="0" fontId="48" fillId="10" borderId="6" xfId="0" applyFont="1" applyFill="1" applyBorder="1" applyAlignment="1">
      <alignment horizontal="center" vertical="center" wrapText="1"/>
    </xf>
    <xf numFmtId="164" fontId="11" fillId="3" borderId="48" xfId="0" applyNumberFormat="1" applyFont="1" applyFill="1" applyBorder="1" applyAlignment="1">
      <alignment horizontal="center"/>
    </xf>
    <xf numFmtId="164" fontId="11" fillId="3" borderId="58" xfId="0" applyNumberFormat="1" applyFont="1" applyFill="1" applyBorder="1" applyAlignment="1">
      <alignment horizontal="center"/>
    </xf>
    <xf numFmtId="164" fontId="11" fillId="3" borderId="4" xfId="0" applyNumberFormat="1" applyFont="1" applyFill="1" applyBorder="1" applyAlignment="1">
      <alignment horizontal="center"/>
    </xf>
    <xf numFmtId="164" fontId="11" fillId="3" borderId="5" xfId="0" applyNumberFormat="1" applyFont="1" applyFill="1" applyBorder="1" applyAlignment="1">
      <alignment horizontal="center"/>
    </xf>
    <xf numFmtId="0" fontId="11" fillId="3" borderId="62" xfId="0" applyFont="1" applyFill="1" applyBorder="1" applyAlignment="1">
      <alignment horizontal="center" vertical="center" wrapText="1"/>
    </xf>
    <xf numFmtId="0" fontId="11" fillId="3" borderId="63" xfId="0" applyFont="1" applyFill="1" applyBorder="1" applyAlignment="1">
      <alignment horizontal="center" vertical="center" wrapText="1"/>
    </xf>
    <xf numFmtId="0" fontId="11" fillId="3" borderId="57" xfId="0" applyFont="1" applyFill="1" applyBorder="1" applyAlignment="1">
      <alignment horizontal="center" vertical="center" wrapText="1"/>
    </xf>
    <xf numFmtId="0" fontId="11" fillId="3" borderId="28" xfId="0" applyFont="1" applyFill="1" applyBorder="1" applyAlignment="1">
      <alignment horizontal="center" vertical="center" wrapText="1"/>
    </xf>
    <xf numFmtId="164" fontId="11" fillId="3" borderId="4" xfId="0" applyNumberFormat="1" applyFont="1" applyFill="1" applyBorder="1" applyAlignment="1">
      <alignment horizontal="center" vertical="center"/>
    </xf>
    <xf numFmtId="164" fontId="11" fillId="3" borderId="5" xfId="0" applyNumberFormat="1" applyFont="1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 wrapText="1"/>
    </xf>
    <xf numFmtId="0" fontId="0" fillId="3" borderId="13" xfId="0" applyFont="1" applyFill="1" applyBorder="1" applyAlignment="1">
      <alignment horizontal="center" vertical="center" wrapText="1"/>
    </xf>
    <xf numFmtId="0" fontId="44" fillId="0" borderId="65" xfId="0" applyFont="1" applyBorder="1" applyAlignment="1">
      <alignment horizontal="center"/>
    </xf>
    <xf numFmtId="0" fontId="44" fillId="0" borderId="0" xfId="0" applyFont="1" applyAlignment="1">
      <alignment horizontal="center"/>
    </xf>
    <xf numFmtId="0" fontId="0" fillId="0" borderId="65" xfId="0" applyBorder="1" applyAlignment="1">
      <alignment horizontal="center"/>
    </xf>
    <xf numFmtId="0" fontId="0" fillId="3" borderId="13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/>
    </xf>
    <xf numFmtId="0" fontId="0" fillId="3" borderId="16" xfId="0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 vertical="center" wrapText="1"/>
    </xf>
    <xf numFmtId="0" fontId="0" fillId="3" borderId="18" xfId="0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0" fillId="3" borderId="16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 wrapText="1"/>
    </xf>
    <xf numFmtId="0" fontId="0" fillId="3" borderId="14" xfId="0" applyFont="1" applyFill="1" applyBorder="1" applyAlignment="1">
      <alignment horizontal="center" vertical="center" wrapText="1"/>
    </xf>
    <xf numFmtId="0" fontId="0" fillId="3" borderId="15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 vertical="center" wrapText="1"/>
    </xf>
  </cellXfs>
  <cellStyles count="3">
    <cellStyle name="Monétaire" xfId="2" builtinId="4"/>
    <cellStyle name="Normal" xfId="0" builtinId="0"/>
    <cellStyle name="Pourcentage" xfId="1" builtinId="5"/>
  </cellStyles>
  <dxfs count="0"/>
  <tableStyles count="0" defaultTableStyle="TableStyleMedium2" defaultPivotStyle="PivotStyleLight16"/>
  <colors>
    <mruColors>
      <color rgb="FFFFCCCC"/>
      <color rgb="FFFFCC99"/>
      <color rgb="FF76B531"/>
      <color rgb="FF2FAD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1.png"/><Relationship Id="rId1" Type="http://schemas.openxmlformats.org/officeDocument/2006/relationships/image" Target="../media/image2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703468</xdr:colOff>
      <xdr:row>0</xdr:row>
      <xdr:rowOff>19843</xdr:rowOff>
    </xdr:from>
    <xdr:to>
      <xdr:col>11</xdr:col>
      <xdr:colOff>708659</xdr:colOff>
      <xdr:row>3</xdr:row>
      <xdr:rowOff>130969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3121687" y="19843"/>
          <a:ext cx="1803035" cy="980282"/>
        </a:xfrm>
        <a:prstGeom prst="rect">
          <a:avLst/>
        </a:prstGeom>
      </xdr:spPr>
    </xdr:pic>
    <xdr:clientData/>
  </xdr:twoCellAnchor>
  <xdr:twoCellAnchor editAs="oneCell">
    <xdr:from>
      <xdr:col>7</xdr:col>
      <xdr:colOff>3342056</xdr:colOff>
      <xdr:row>0</xdr:row>
      <xdr:rowOff>8095</xdr:rowOff>
    </xdr:from>
    <xdr:to>
      <xdr:col>9</xdr:col>
      <xdr:colOff>190499</xdr:colOff>
      <xdr:row>3</xdr:row>
      <xdr:rowOff>37624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02525" y="8095"/>
          <a:ext cx="1706193" cy="898685"/>
        </a:xfrm>
        <a:prstGeom prst="rect">
          <a:avLst/>
        </a:prstGeom>
      </xdr:spPr>
    </xdr:pic>
    <xdr:clientData/>
  </xdr:twoCellAnchor>
  <xdr:twoCellAnchor editAs="oneCell">
    <xdr:from>
      <xdr:col>7</xdr:col>
      <xdr:colOff>3385156</xdr:colOff>
      <xdr:row>4</xdr:row>
      <xdr:rowOff>139066</xdr:rowOff>
    </xdr:from>
    <xdr:to>
      <xdr:col>9</xdr:col>
      <xdr:colOff>288293</xdr:colOff>
      <xdr:row>7</xdr:row>
      <xdr:rowOff>102570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45625" y="1258254"/>
          <a:ext cx="1753267" cy="669782"/>
        </a:xfrm>
        <a:prstGeom prst="rect">
          <a:avLst/>
        </a:prstGeom>
      </xdr:spPr>
    </xdr:pic>
    <xdr:clientData/>
  </xdr:twoCellAnchor>
  <xdr:twoCellAnchor editAs="oneCell">
    <xdr:from>
      <xdr:col>9</xdr:col>
      <xdr:colOff>607219</xdr:colOff>
      <xdr:row>4</xdr:row>
      <xdr:rowOff>142875</xdr:rowOff>
    </xdr:from>
    <xdr:to>
      <xdr:col>11</xdr:col>
      <xdr:colOff>714506</xdr:colOff>
      <xdr:row>7</xdr:row>
      <xdr:rowOff>98849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25438" y="1262063"/>
          <a:ext cx="1908941" cy="6584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54609</xdr:colOff>
      <xdr:row>0</xdr:row>
      <xdr:rowOff>143440</xdr:rowOff>
    </xdr:from>
    <xdr:to>
      <xdr:col>1</xdr:col>
      <xdr:colOff>172991</xdr:colOff>
      <xdr:row>4</xdr:row>
      <xdr:rowOff>96883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09" y="143440"/>
          <a:ext cx="1836783" cy="1013167"/>
        </a:xfrm>
        <a:prstGeom prst="rect">
          <a:avLst/>
        </a:prstGeom>
      </xdr:spPr>
    </xdr:pic>
    <xdr:clientData/>
  </xdr:twoCellAnchor>
  <xdr:twoCellAnchor editAs="oneCell">
    <xdr:from>
      <xdr:col>2</xdr:col>
      <xdr:colOff>565445</xdr:colOff>
      <xdr:row>0</xdr:row>
      <xdr:rowOff>174079</xdr:rowOff>
    </xdr:from>
    <xdr:to>
      <xdr:col>4</xdr:col>
      <xdr:colOff>231322</xdr:colOff>
      <xdr:row>4</xdr:row>
      <xdr:rowOff>172811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606516" y="174079"/>
          <a:ext cx="2196806" cy="1066076"/>
        </a:xfrm>
        <a:prstGeom prst="rect">
          <a:avLst/>
        </a:prstGeom>
      </xdr:spPr>
    </xdr:pic>
    <xdr:clientData/>
  </xdr:twoCellAnchor>
  <xdr:twoCellAnchor editAs="oneCell">
    <xdr:from>
      <xdr:col>11</xdr:col>
      <xdr:colOff>603250</xdr:colOff>
      <xdr:row>1</xdr:row>
      <xdr:rowOff>84262</xdr:rowOff>
    </xdr:from>
    <xdr:to>
      <xdr:col>13</xdr:col>
      <xdr:colOff>286596</xdr:colOff>
      <xdr:row>3</xdr:row>
      <xdr:rowOff>134620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72583" y="264179"/>
          <a:ext cx="2074333" cy="688321"/>
        </a:xfrm>
        <a:prstGeom prst="rect">
          <a:avLst/>
        </a:prstGeom>
      </xdr:spPr>
    </xdr:pic>
    <xdr:clientData/>
  </xdr:twoCellAnchor>
  <xdr:twoCellAnchor editAs="oneCell">
    <xdr:from>
      <xdr:col>13</xdr:col>
      <xdr:colOff>411366</xdr:colOff>
      <xdr:row>1</xdr:row>
      <xdr:rowOff>57151</xdr:rowOff>
    </xdr:from>
    <xdr:to>
      <xdr:col>15</xdr:col>
      <xdr:colOff>134620</xdr:colOff>
      <xdr:row>3</xdr:row>
      <xdr:rowOff>134620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83116" y="237068"/>
          <a:ext cx="2245051" cy="7154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I123"/>
  <sheetViews>
    <sheetView showGridLines="0" tabSelected="1" topLeftCell="B1" zoomScale="85" zoomScaleNormal="85" workbookViewId="0">
      <selection activeCell="B4" sqref="B4"/>
    </sheetView>
  </sheetViews>
  <sheetFormatPr baseColWidth="10" defaultColWidth="11.42578125" defaultRowHeight="12.75" x14ac:dyDescent="0.25"/>
  <cols>
    <col min="1" max="1" width="11.42578125" style="3" hidden="1" customWidth="1"/>
    <col min="2" max="2" width="11.140625" style="3" customWidth="1"/>
    <col min="3" max="3" width="21.5703125" style="3" customWidth="1"/>
    <col min="4" max="4" width="30.85546875" style="3" customWidth="1"/>
    <col min="5" max="5" width="16.140625" style="3" bestFit="1" customWidth="1"/>
    <col min="6" max="6" width="14.85546875" style="3" customWidth="1"/>
    <col min="7" max="7" width="15.5703125" style="3" bestFit="1" customWidth="1"/>
    <col min="8" max="8" width="51.85546875" style="6" customWidth="1"/>
    <col min="9" max="9" width="18.85546875" style="264" customWidth="1"/>
    <col min="10" max="10" width="14.28515625" style="3" customWidth="1"/>
    <col min="11" max="11" width="12" style="3" customWidth="1"/>
    <col min="12" max="18" width="12.28515625" style="3" customWidth="1"/>
    <col min="19" max="19" width="14.7109375" style="1" customWidth="1"/>
    <col min="20" max="20" width="19.7109375" style="1" customWidth="1"/>
    <col min="21" max="21" width="24.42578125" style="1" customWidth="1"/>
    <col min="22" max="22" width="11.5703125" style="1" customWidth="1"/>
    <col min="23" max="23" width="14.7109375" style="1" customWidth="1"/>
    <col min="24" max="24" width="13.42578125" style="1" customWidth="1"/>
    <col min="25" max="35" width="11.42578125" style="1"/>
    <col min="36" max="16384" width="11.42578125" style="3"/>
  </cols>
  <sheetData>
    <row r="2" spans="1:24" s="26" customFormat="1" ht="26.25" x14ac:dyDescent="0.25">
      <c r="A2" s="10" t="s">
        <v>17</v>
      </c>
      <c r="B2" s="10"/>
      <c r="C2" s="10"/>
      <c r="E2" s="384" t="s">
        <v>141</v>
      </c>
      <c r="F2" s="384"/>
      <c r="G2" s="384"/>
      <c r="H2" s="384"/>
      <c r="I2" s="258"/>
    </row>
    <row r="3" spans="1:24" s="26" customFormat="1" ht="30.75" x14ac:dyDescent="0.3">
      <c r="A3" s="41" t="s">
        <v>47</v>
      </c>
      <c r="B3" s="289" t="s">
        <v>287</v>
      </c>
      <c r="C3" s="290" t="s">
        <v>288</v>
      </c>
      <c r="D3" s="290" t="s">
        <v>289</v>
      </c>
      <c r="E3" s="385" t="s">
        <v>142</v>
      </c>
      <c r="F3" s="385"/>
      <c r="G3" s="385"/>
      <c r="H3" s="385"/>
      <c r="I3" s="259"/>
    </row>
    <row r="4" spans="1:24" s="26" customFormat="1" ht="19.5" x14ac:dyDescent="0.3">
      <c r="B4" s="317">
        <v>1</v>
      </c>
      <c r="C4" s="318">
        <v>46097</v>
      </c>
      <c r="D4" s="318" t="s">
        <v>205</v>
      </c>
      <c r="E4" s="385" t="s">
        <v>143</v>
      </c>
      <c r="F4" s="385"/>
      <c r="G4" s="385"/>
      <c r="H4" s="385"/>
      <c r="I4" s="259"/>
    </row>
    <row r="5" spans="1:24" s="26" customFormat="1" ht="30" customHeight="1" x14ac:dyDescent="0.3">
      <c r="B5" s="292"/>
      <c r="C5" s="293"/>
      <c r="D5" s="293"/>
      <c r="E5" s="385" t="s">
        <v>159</v>
      </c>
      <c r="F5" s="385"/>
      <c r="G5" s="385"/>
      <c r="H5" s="385"/>
      <c r="I5" s="259"/>
    </row>
    <row r="6" spans="1:24" s="26" customFormat="1" ht="12.75" customHeight="1" x14ac:dyDescent="0.3">
      <c r="B6" s="292"/>
      <c r="C6" s="293"/>
      <c r="D6" s="293"/>
      <c r="E6" s="385" t="s">
        <v>266</v>
      </c>
      <c r="F6" s="385"/>
      <c r="G6" s="385"/>
      <c r="H6" s="385"/>
      <c r="I6" s="259"/>
    </row>
    <row r="7" spans="1:24" s="26" customFormat="1" ht="12" customHeight="1" x14ac:dyDescent="0.25">
      <c r="B7" s="292"/>
      <c r="C7" s="293"/>
      <c r="D7" s="293"/>
      <c r="I7" s="257"/>
    </row>
    <row r="8" spans="1:24" s="26" customFormat="1" ht="12.75" customHeight="1" x14ac:dyDescent="0.25">
      <c r="B8" s="287"/>
      <c r="C8" s="288"/>
      <c r="D8" s="287"/>
      <c r="E8" s="175"/>
      <c r="F8" s="175"/>
      <c r="G8" s="175"/>
      <c r="H8" s="175"/>
      <c r="I8" s="260"/>
      <c r="J8" s="175"/>
      <c r="K8" s="175"/>
      <c r="L8" s="175"/>
      <c r="M8" s="175"/>
    </row>
    <row r="9" spans="1:24" s="26" customFormat="1" ht="15" x14ac:dyDescent="0.25">
      <c r="I9" s="257"/>
    </row>
    <row r="10" spans="1:24" s="1" customFormat="1" ht="17.45" customHeight="1" x14ac:dyDescent="0.25">
      <c r="C10" s="51" t="s">
        <v>13</v>
      </c>
      <c r="D10" s="48"/>
      <c r="E10" s="48"/>
      <c r="F10" s="48"/>
      <c r="G10" s="48"/>
      <c r="H10" s="48"/>
      <c r="I10" s="261"/>
      <c r="J10" s="49"/>
      <c r="K10" s="48"/>
      <c r="L10" s="50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</row>
    <row r="11" spans="1:24" s="1" customFormat="1" ht="13.5" thickBot="1" x14ac:dyDescent="0.3">
      <c r="I11" s="262"/>
      <c r="L11" s="5"/>
    </row>
    <row r="12" spans="1:24" s="1" customFormat="1" ht="33.6" customHeight="1" thickBot="1" x14ac:dyDescent="0.25">
      <c r="C12" s="14"/>
      <c r="D12" s="14"/>
      <c r="E12" s="119" t="s">
        <v>8</v>
      </c>
      <c r="F12" s="120" t="s">
        <v>9</v>
      </c>
      <c r="H12" s="5"/>
      <c r="I12" s="262"/>
    </row>
    <row r="13" spans="1:24" s="1" customFormat="1" ht="48" customHeight="1" thickBot="1" x14ac:dyDescent="0.3">
      <c r="C13" s="135" t="s">
        <v>2</v>
      </c>
      <c r="D13" s="16" t="s">
        <v>130</v>
      </c>
      <c r="E13" s="196">
        <v>1.0900000000000001</v>
      </c>
      <c r="F13" s="196">
        <v>1.0900000000000001</v>
      </c>
      <c r="G13" s="134" t="s">
        <v>6</v>
      </c>
      <c r="H13" s="121" t="s">
        <v>179</v>
      </c>
      <c r="I13" s="262"/>
      <c r="M13" s="17"/>
    </row>
    <row r="14" spans="1:24" s="1" customFormat="1" ht="46.5" customHeight="1" thickBot="1" x14ac:dyDescent="0.3">
      <c r="A14" s="3"/>
      <c r="B14" s="3"/>
      <c r="C14" s="15" t="s">
        <v>7</v>
      </c>
      <c r="D14" s="16" t="s">
        <v>145</v>
      </c>
      <c r="E14" s="36">
        <v>4.1399999999999997</v>
      </c>
      <c r="F14" s="237">
        <v>5.51</v>
      </c>
      <c r="G14" s="114" t="s">
        <v>6</v>
      </c>
      <c r="H14" s="121" t="s">
        <v>165</v>
      </c>
      <c r="I14" s="262"/>
      <c r="M14" s="98"/>
    </row>
    <row r="15" spans="1:24" s="1" customFormat="1" ht="21.6" customHeight="1" thickBot="1" x14ac:dyDescent="0.3">
      <c r="A15" s="3"/>
      <c r="B15" s="3"/>
      <c r="C15" s="387" t="s">
        <v>3</v>
      </c>
      <c r="D15" s="19" t="s">
        <v>40</v>
      </c>
      <c r="E15" s="197">
        <v>2.2999999999999998</v>
      </c>
      <c r="F15" s="238">
        <f>E15*1.33</f>
        <v>3.0589999999999997</v>
      </c>
      <c r="G15" s="115" t="s">
        <v>5</v>
      </c>
      <c r="H15" s="331" t="s">
        <v>260</v>
      </c>
      <c r="I15" s="357"/>
      <c r="J15" s="358"/>
      <c r="K15" s="358"/>
      <c r="L15" s="358"/>
      <c r="M15" s="358"/>
    </row>
    <row r="16" spans="1:24" s="1" customFormat="1" ht="21.6" customHeight="1" thickBot="1" x14ac:dyDescent="0.3">
      <c r="A16" s="3"/>
      <c r="B16" s="3"/>
      <c r="C16" s="388"/>
      <c r="D16" s="19" t="s">
        <v>41</v>
      </c>
      <c r="E16" s="197">
        <v>3.06</v>
      </c>
      <c r="F16" s="238">
        <f t="shared" ref="F16:F17" si="0">E16*1.33</f>
        <v>4.0697999999999999</v>
      </c>
      <c r="G16" s="353" t="s">
        <v>203</v>
      </c>
      <c r="H16" s="332"/>
      <c r="I16" s="263"/>
    </row>
    <row r="17" spans="1:13" s="1" customFormat="1" ht="21.6" customHeight="1" thickBot="1" x14ac:dyDescent="0.3">
      <c r="A17" s="3"/>
      <c r="B17" s="3"/>
      <c r="C17" s="389"/>
      <c r="D17" s="19" t="s">
        <v>42</v>
      </c>
      <c r="E17" s="197">
        <v>2.58</v>
      </c>
      <c r="F17" s="238">
        <f t="shared" si="0"/>
        <v>3.4314000000000004</v>
      </c>
      <c r="G17" s="354"/>
      <c r="H17" s="333"/>
      <c r="I17" s="263"/>
    </row>
    <row r="18" spans="1:13" s="1" customFormat="1" ht="48.6" customHeight="1" thickBot="1" x14ac:dyDescent="0.3">
      <c r="A18" s="3"/>
      <c r="B18" s="3"/>
      <c r="C18" s="18" t="s">
        <v>4</v>
      </c>
      <c r="D18" s="19" t="s">
        <v>43</v>
      </c>
      <c r="E18" s="37">
        <v>4.5599999999999996</v>
      </c>
      <c r="F18" s="239">
        <v>5.75</v>
      </c>
      <c r="G18" s="115" t="s">
        <v>6</v>
      </c>
      <c r="H18" s="122" t="s">
        <v>121</v>
      </c>
      <c r="I18" s="263"/>
    </row>
    <row r="19" spans="1:13" s="1" customFormat="1" ht="30.6" customHeight="1" thickBot="1" x14ac:dyDescent="0.3">
      <c r="A19" s="3"/>
      <c r="B19" s="3"/>
      <c r="C19" s="387" t="s">
        <v>154</v>
      </c>
      <c r="D19" s="16" t="s">
        <v>44</v>
      </c>
      <c r="E19" s="21">
        <v>1.58</v>
      </c>
      <c r="F19" s="240">
        <v>1.58</v>
      </c>
      <c r="G19" s="350" t="s">
        <v>148</v>
      </c>
      <c r="H19" s="367" t="s">
        <v>261</v>
      </c>
      <c r="I19" s="263"/>
    </row>
    <row r="20" spans="1:13" s="1" customFormat="1" ht="30.6" customHeight="1" thickBot="1" x14ac:dyDescent="0.3">
      <c r="A20" s="3"/>
      <c r="B20" s="3"/>
      <c r="C20" s="388"/>
      <c r="D20" s="16" t="s">
        <v>46</v>
      </c>
      <c r="E20" s="21">
        <v>4.75</v>
      </c>
      <c r="F20" s="240">
        <v>4.75</v>
      </c>
      <c r="G20" s="351"/>
      <c r="H20" s="368"/>
      <c r="I20" s="263"/>
    </row>
    <row r="21" spans="1:13" s="1" customFormat="1" ht="30.6" customHeight="1" thickBot="1" x14ac:dyDescent="0.3">
      <c r="A21" s="3"/>
      <c r="B21" s="3"/>
      <c r="C21" s="388"/>
      <c r="D21" s="16" t="s">
        <v>45</v>
      </c>
      <c r="E21" s="238">
        <v>9.1</v>
      </c>
      <c r="F21" s="238">
        <v>9.1</v>
      </c>
      <c r="G21" s="351"/>
      <c r="H21" s="368"/>
      <c r="I21" s="320"/>
    </row>
    <row r="22" spans="1:13" s="1" customFormat="1" ht="30.6" customHeight="1" thickBot="1" x14ac:dyDescent="0.3">
      <c r="A22" s="3"/>
      <c r="B22" s="3"/>
      <c r="C22" s="388"/>
      <c r="D22" s="19" t="s">
        <v>209</v>
      </c>
      <c r="E22" s="200">
        <v>2.2200000000000002</v>
      </c>
      <c r="F22" s="239">
        <v>2.95</v>
      </c>
      <c r="G22" s="351"/>
      <c r="H22" s="368"/>
      <c r="I22" s="359"/>
      <c r="J22" s="360"/>
      <c r="K22" s="360"/>
      <c r="L22" s="360"/>
      <c r="M22" s="360"/>
    </row>
    <row r="23" spans="1:13" s="1" customFormat="1" ht="30.6" customHeight="1" thickBot="1" x14ac:dyDescent="0.3">
      <c r="A23" s="3"/>
      <c r="B23" s="3"/>
      <c r="C23" s="389"/>
      <c r="D23" s="19" t="s">
        <v>210</v>
      </c>
      <c r="E23" s="200">
        <v>4.83</v>
      </c>
      <c r="F23" s="239">
        <v>6.44</v>
      </c>
      <c r="G23" s="352"/>
      <c r="H23" s="369"/>
      <c r="I23" s="263"/>
    </row>
    <row r="24" spans="1:13" s="1" customFormat="1" ht="51.75" thickBot="1" x14ac:dyDescent="0.3">
      <c r="A24" s="3"/>
      <c r="B24" s="3"/>
      <c r="C24" s="23" t="s">
        <v>146</v>
      </c>
      <c r="D24" s="19" t="s">
        <v>151</v>
      </c>
      <c r="E24" s="37">
        <v>4.3</v>
      </c>
      <c r="F24" s="37">
        <v>5.71</v>
      </c>
      <c r="G24" s="115" t="s">
        <v>6</v>
      </c>
      <c r="H24" s="122"/>
      <c r="I24" s="263"/>
    </row>
    <row r="25" spans="1:13" s="1" customFormat="1" ht="55.5" customHeight="1" x14ac:dyDescent="0.25">
      <c r="A25" s="3"/>
      <c r="B25" s="3"/>
      <c r="C25" s="386"/>
      <c r="D25" s="386"/>
      <c r="E25" s="386"/>
      <c r="F25" s="386"/>
      <c r="G25" s="17"/>
      <c r="H25" s="5"/>
      <c r="I25" s="263"/>
    </row>
    <row r="26" spans="1:13" s="1" customFormat="1" x14ac:dyDescent="0.25">
      <c r="A26" s="3"/>
      <c r="B26" s="3"/>
      <c r="C26" s="13"/>
      <c r="D26" s="13"/>
      <c r="E26" s="179"/>
      <c r="F26" s="13"/>
      <c r="H26" s="5"/>
      <c r="I26" s="262"/>
    </row>
    <row r="27" spans="1:13" s="1" customFormat="1" x14ac:dyDescent="0.25">
      <c r="A27" s="3"/>
      <c r="B27" s="3"/>
      <c r="C27" s="13"/>
      <c r="D27" s="13"/>
      <c r="E27" s="13"/>
      <c r="F27" s="13"/>
      <c r="H27" s="5"/>
      <c r="I27" s="262"/>
    </row>
    <row r="28" spans="1:13" s="1" customFormat="1" x14ac:dyDescent="0.25">
      <c r="A28" s="3"/>
      <c r="B28" s="3"/>
      <c r="C28" s="13"/>
      <c r="D28" s="13"/>
      <c r="E28" s="13"/>
      <c r="F28" s="13"/>
      <c r="H28" s="5"/>
      <c r="I28" s="262"/>
    </row>
    <row r="29" spans="1:13" s="1" customFormat="1" ht="18.75" x14ac:dyDescent="0.25">
      <c r="A29" s="3"/>
      <c r="B29" s="3"/>
      <c r="C29" s="51" t="s">
        <v>77</v>
      </c>
      <c r="D29" s="52"/>
      <c r="E29" s="52"/>
      <c r="F29" s="52"/>
      <c r="G29" s="53"/>
      <c r="H29" s="54"/>
      <c r="I29" s="262"/>
    </row>
    <row r="30" spans="1:13" s="1" customFormat="1" ht="16.5" thickBot="1" x14ac:dyDescent="0.3">
      <c r="A30" s="3"/>
      <c r="B30" s="3"/>
      <c r="C30" s="2"/>
      <c r="D30" s="13"/>
      <c r="E30" s="13"/>
      <c r="F30" s="13"/>
      <c r="H30" s="5"/>
      <c r="I30" s="262"/>
    </row>
    <row r="31" spans="1:13" s="1" customFormat="1" ht="26.25" thickBot="1" x14ac:dyDescent="0.3">
      <c r="A31" s="3"/>
      <c r="B31" s="3"/>
      <c r="C31" s="2"/>
      <c r="D31" s="13"/>
      <c r="E31" s="119" t="s">
        <v>10</v>
      </c>
      <c r="F31" s="13"/>
      <c r="H31" s="5"/>
      <c r="I31" s="262"/>
    </row>
    <row r="32" spans="1:13" s="1" customFormat="1" ht="26.25" thickBot="1" x14ac:dyDescent="0.3">
      <c r="A32" s="3"/>
      <c r="B32" s="3"/>
      <c r="C32" s="15" t="s">
        <v>7</v>
      </c>
      <c r="D32" s="24" t="s">
        <v>145</v>
      </c>
      <c r="E32" s="25">
        <v>6.64</v>
      </c>
      <c r="F32" s="117" t="s">
        <v>6</v>
      </c>
      <c r="G32" s="342" t="s">
        <v>149</v>
      </c>
      <c r="H32" s="343"/>
      <c r="I32" s="262"/>
    </row>
    <row r="33" spans="1:9" s="1" customFormat="1" ht="21.6" customHeight="1" thickBot="1" x14ac:dyDescent="0.3">
      <c r="A33" s="3"/>
      <c r="B33" s="3"/>
      <c r="C33" s="387" t="s">
        <v>3</v>
      </c>
      <c r="D33" s="19" t="s">
        <v>79</v>
      </c>
      <c r="E33" s="198">
        <v>2.78</v>
      </c>
      <c r="F33" s="116" t="s">
        <v>5</v>
      </c>
      <c r="G33" s="334" t="s">
        <v>202</v>
      </c>
      <c r="H33" s="335"/>
      <c r="I33" s="262"/>
    </row>
    <row r="34" spans="1:9" s="1" customFormat="1" ht="21.6" customHeight="1" thickBot="1" x14ac:dyDescent="0.3">
      <c r="A34" s="3"/>
      <c r="B34" s="3"/>
      <c r="C34" s="388"/>
      <c r="D34" s="19" t="s">
        <v>78</v>
      </c>
      <c r="E34" s="198">
        <v>4.1399999999999997</v>
      </c>
      <c r="F34" s="350" t="s">
        <v>203</v>
      </c>
      <c r="G34" s="336"/>
      <c r="H34" s="337"/>
      <c r="I34" s="262"/>
    </row>
    <row r="35" spans="1:9" s="1" customFormat="1" ht="21.6" customHeight="1" thickBot="1" x14ac:dyDescent="0.3">
      <c r="A35" s="3"/>
      <c r="B35" s="3"/>
      <c r="C35" s="388"/>
      <c r="D35" s="19" t="s">
        <v>80</v>
      </c>
      <c r="E35" s="198">
        <v>3.35</v>
      </c>
      <c r="F35" s="351"/>
      <c r="G35" s="336"/>
      <c r="H35" s="337"/>
      <c r="I35" s="262"/>
    </row>
    <row r="36" spans="1:9" s="1" customFormat="1" ht="21.6" customHeight="1" thickBot="1" x14ac:dyDescent="0.3">
      <c r="A36" s="3"/>
      <c r="B36" s="3"/>
      <c r="C36" s="388"/>
      <c r="D36" s="19" t="s">
        <v>220</v>
      </c>
      <c r="E36" s="198">
        <v>2.2999999999999998</v>
      </c>
      <c r="F36" s="351"/>
      <c r="G36" s="336"/>
      <c r="H36" s="337"/>
      <c r="I36" s="262"/>
    </row>
    <row r="37" spans="1:9" s="1" customFormat="1" ht="21.6" customHeight="1" thickBot="1" x14ac:dyDescent="0.3">
      <c r="A37" s="3"/>
      <c r="B37" s="3"/>
      <c r="C37" s="388"/>
      <c r="D37" s="19" t="s">
        <v>221</v>
      </c>
      <c r="E37" s="198">
        <v>3.06</v>
      </c>
      <c r="F37" s="351"/>
      <c r="G37" s="336"/>
      <c r="H37" s="337"/>
      <c r="I37" s="262"/>
    </row>
    <row r="38" spans="1:9" s="1" customFormat="1" ht="21.6" customHeight="1" thickBot="1" x14ac:dyDescent="0.3">
      <c r="A38" s="3"/>
      <c r="B38" s="3"/>
      <c r="C38" s="389"/>
      <c r="D38" s="19" t="s">
        <v>222</v>
      </c>
      <c r="E38" s="198">
        <v>2.58</v>
      </c>
      <c r="F38" s="352"/>
      <c r="G38" s="338"/>
      <c r="H38" s="339"/>
      <c r="I38" s="262"/>
    </row>
    <row r="39" spans="1:9" s="1" customFormat="1" ht="38.1" customHeight="1" thickBot="1" x14ac:dyDescent="0.3">
      <c r="A39" s="3"/>
      <c r="B39" s="3"/>
      <c r="C39" s="18" t="s">
        <v>4</v>
      </c>
      <c r="D39" s="19" t="s">
        <v>43</v>
      </c>
      <c r="E39" s="20">
        <v>4.8499999999999996</v>
      </c>
      <c r="F39" s="117" t="s">
        <v>6</v>
      </c>
      <c r="G39" s="365" t="s">
        <v>121</v>
      </c>
      <c r="H39" s="366"/>
      <c r="I39" s="262"/>
    </row>
    <row r="40" spans="1:9" s="1" customFormat="1" ht="39.6" customHeight="1" thickBot="1" x14ac:dyDescent="0.3">
      <c r="A40" s="3"/>
      <c r="B40" s="3"/>
      <c r="C40" s="15" t="s">
        <v>11</v>
      </c>
      <c r="D40" s="19" t="s">
        <v>12</v>
      </c>
      <c r="E40" s="20">
        <v>7.01</v>
      </c>
      <c r="F40" s="350" t="s">
        <v>174</v>
      </c>
      <c r="G40" s="361" t="s">
        <v>173</v>
      </c>
      <c r="H40" s="362"/>
      <c r="I40" s="262"/>
    </row>
    <row r="41" spans="1:9" s="1" customFormat="1" ht="30.95" customHeight="1" thickBot="1" x14ac:dyDescent="0.3">
      <c r="A41" s="3"/>
      <c r="B41" s="3"/>
      <c r="C41" s="15" t="s">
        <v>153</v>
      </c>
      <c r="D41" s="16" t="s">
        <v>184</v>
      </c>
      <c r="E41" s="163">
        <v>24.32</v>
      </c>
      <c r="F41" s="352"/>
      <c r="G41" s="363"/>
      <c r="H41" s="364"/>
      <c r="I41" s="262"/>
    </row>
    <row r="42" spans="1:9" s="1" customFormat="1" ht="51.75" thickBot="1" x14ac:dyDescent="0.3">
      <c r="A42" s="3"/>
      <c r="B42" s="3"/>
      <c r="C42" s="15" t="s">
        <v>146</v>
      </c>
      <c r="D42" s="19" t="s">
        <v>151</v>
      </c>
      <c r="E42" s="20">
        <v>4.51</v>
      </c>
      <c r="F42" s="116" t="s">
        <v>6</v>
      </c>
      <c r="G42" s="355"/>
      <c r="H42" s="356"/>
      <c r="I42" s="262"/>
    </row>
    <row r="43" spans="1:9" s="1" customFormat="1" x14ac:dyDescent="0.25">
      <c r="A43" s="3"/>
      <c r="B43" s="3"/>
      <c r="C43" s="55"/>
      <c r="D43" s="56"/>
      <c r="E43" s="178"/>
      <c r="F43" s="56"/>
      <c r="H43" s="5"/>
      <c r="I43" s="262"/>
    </row>
    <row r="44" spans="1:9" s="1" customFormat="1" x14ac:dyDescent="0.25">
      <c r="A44" s="3"/>
      <c r="B44" s="3"/>
      <c r="C44" s="13"/>
      <c r="D44" s="13"/>
      <c r="E44" s="13"/>
      <c r="F44" s="13"/>
      <c r="H44" s="5"/>
      <c r="I44" s="262"/>
    </row>
    <row r="45" spans="1:9" s="1" customFormat="1" x14ac:dyDescent="0.25">
      <c r="A45" s="3"/>
      <c r="B45" s="3"/>
      <c r="C45" s="13"/>
      <c r="D45" s="13"/>
      <c r="E45" s="13"/>
      <c r="H45" s="5"/>
      <c r="I45" s="262"/>
    </row>
    <row r="46" spans="1:9" s="1" customFormat="1" x14ac:dyDescent="0.25">
      <c r="A46" s="3"/>
      <c r="B46" s="3"/>
      <c r="C46" s="13"/>
      <c r="D46" s="13"/>
      <c r="E46" s="13"/>
      <c r="F46" s="13"/>
      <c r="H46" s="6"/>
      <c r="I46" s="262"/>
    </row>
    <row r="48" spans="1:9" ht="18.75" x14ac:dyDescent="0.25">
      <c r="C48" s="51" t="s">
        <v>93</v>
      </c>
      <c r="D48" s="48"/>
      <c r="E48" s="48"/>
      <c r="F48" s="49"/>
      <c r="G48" s="48"/>
      <c r="H48" s="54"/>
    </row>
    <row r="49" spans="3:9" x14ac:dyDescent="0.25">
      <c r="C49" s="13" t="s">
        <v>185</v>
      </c>
      <c r="D49" s="9"/>
      <c r="E49" s="9"/>
      <c r="F49" s="4"/>
      <c r="G49" s="9"/>
      <c r="H49" s="5"/>
    </row>
    <row r="50" spans="3:9" x14ac:dyDescent="0.25">
      <c r="C50" s="13"/>
      <c r="D50" s="9"/>
      <c r="E50" s="9"/>
      <c r="F50" s="4"/>
      <c r="G50" s="9"/>
      <c r="H50" s="5"/>
    </row>
    <row r="51" spans="3:9" ht="13.5" thickBot="1" x14ac:dyDescent="0.3">
      <c r="C51" s="1"/>
      <c r="D51" s="9"/>
      <c r="E51" s="9"/>
      <c r="F51" s="4"/>
      <c r="G51" s="9"/>
      <c r="H51" s="5"/>
    </row>
    <row r="52" spans="3:9" ht="26.25" thickBot="1" x14ac:dyDescent="0.3">
      <c r="C52" s="72"/>
      <c r="D52" s="72"/>
      <c r="E52" s="123" t="s">
        <v>100</v>
      </c>
      <c r="F52" s="79"/>
      <c r="G52" s="72"/>
      <c r="H52" s="73"/>
    </row>
    <row r="53" spans="3:9" ht="26.25" thickBot="1" x14ac:dyDescent="0.3">
      <c r="C53" s="74" t="s">
        <v>7</v>
      </c>
      <c r="D53" s="24" t="s">
        <v>145</v>
      </c>
      <c r="E53" s="236">
        <v>82.8</v>
      </c>
      <c r="F53" s="118" t="s">
        <v>6</v>
      </c>
      <c r="G53" s="342" t="s">
        <v>150</v>
      </c>
      <c r="H53" s="343"/>
      <c r="I53" s="265"/>
    </row>
    <row r="54" spans="3:9" ht="22.5" customHeight="1" thickBot="1" x14ac:dyDescent="0.3">
      <c r="C54" s="373" t="s">
        <v>3</v>
      </c>
      <c r="D54" s="19" t="s">
        <v>40</v>
      </c>
      <c r="E54" s="199">
        <f>E15*20</f>
        <v>46</v>
      </c>
      <c r="F54" s="115" t="s">
        <v>5</v>
      </c>
      <c r="G54" s="344" t="s">
        <v>244</v>
      </c>
      <c r="H54" s="345"/>
      <c r="I54" s="274"/>
    </row>
    <row r="55" spans="3:9" ht="22.5" customHeight="1" thickBot="1" x14ac:dyDescent="0.3">
      <c r="C55" s="374"/>
      <c r="D55" s="19" t="s">
        <v>84</v>
      </c>
      <c r="E55" s="199">
        <f>E16*20</f>
        <v>61.2</v>
      </c>
      <c r="F55" s="353" t="s">
        <v>203</v>
      </c>
      <c r="G55" s="346"/>
      <c r="H55" s="347"/>
    </row>
    <row r="56" spans="3:9" ht="22.5" customHeight="1" thickBot="1" x14ac:dyDescent="0.3">
      <c r="C56" s="375"/>
      <c r="D56" s="19" t="s">
        <v>42</v>
      </c>
      <c r="E56" s="199">
        <f>E17*20</f>
        <v>51.6</v>
      </c>
      <c r="F56" s="354"/>
      <c r="G56" s="348"/>
      <c r="H56" s="349"/>
    </row>
    <row r="57" spans="3:9" ht="36.6" customHeight="1" thickBot="1" x14ac:dyDescent="0.3">
      <c r="C57" s="76" t="s">
        <v>4</v>
      </c>
      <c r="D57" s="19" t="s">
        <v>43</v>
      </c>
      <c r="E57" s="77">
        <f>4.56*20</f>
        <v>91.199999999999989</v>
      </c>
      <c r="F57" s="115" t="s">
        <v>6</v>
      </c>
      <c r="G57" s="342" t="s">
        <v>121</v>
      </c>
      <c r="H57" s="343"/>
    </row>
    <row r="58" spans="3:9" ht="34.5" customHeight="1" thickBot="1" x14ac:dyDescent="0.3">
      <c r="C58" s="74" t="s">
        <v>11</v>
      </c>
      <c r="D58" s="19" t="s">
        <v>14</v>
      </c>
      <c r="E58" s="77">
        <f>3.52*20</f>
        <v>70.400000000000006</v>
      </c>
      <c r="F58" s="115" t="s">
        <v>6</v>
      </c>
      <c r="G58" s="342" t="s">
        <v>186</v>
      </c>
      <c r="H58" s="343"/>
    </row>
    <row r="59" spans="3:9" ht="51" customHeight="1" thickBot="1" x14ac:dyDescent="0.3">
      <c r="C59" s="74" t="s">
        <v>147</v>
      </c>
      <c r="D59" s="19" t="s">
        <v>151</v>
      </c>
      <c r="E59" s="77">
        <v>86</v>
      </c>
      <c r="F59" s="115" t="s">
        <v>6</v>
      </c>
      <c r="G59" s="355"/>
      <c r="H59" s="356"/>
      <c r="I59" s="265"/>
    </row>
    <row r="60" spans="3:9" x14ac:dyDescent="0.25">
      <c r="E60" s="80"/>
    </row>
    <row r="63" spans="3:9" ht="18.75" x14ac:dyDescent="0.25">
      <c r="C63" s="51" t="s">
        <v>97</v>
      </c>
      <c r="D63" s="48"/>
      <c r="E63" s="48"/>
      <c r="F63" s="49"/>
      <c r="G63" s="48"/>
      <c r="H63" s="54"/>
    </row>
    <row r="64" spans="3:9" x14ac:dyDescent="0.25">
      <c r="C64" s="3" t="s">
        <v>152</v>
      </c>
      <c r="D64" s="9"/>
      <c r="E64" s="9"/>
      <c r="F64" s="4"/>
      <c r="G64" s="9"/>
      <c r="H64" s="5"/>
    </row>
    <row r="65" spans="3:35" x14ac:dyDescent="0.25">
      <c r="C65" s="13"/>
      <c r="D65" s="9"/>
      <c r="E65" s="9"/>
      <c r="F65" s="4"/>
      <c r="G65" s="9"/>
      <c r="H65" s="5"/>
    </row>
    <row r="66" spans="3:35" ht="13.5" thickBot="1" x14ac:dyDescent="0.3">
      <c r="C66" s="72"/>
      <c r="D66" s="9"/>
      <c r="E66" s="9"/>
      <c r="F66" s="4"/>
      <c r="G66" s="9"/>
      <c r="H66" s="5"/>
    </row>
    <row r="67" spans="3:35" ht="39" thickBot="1" x14ac:dyDescent="0.3">
      <c r="C67" s="72"/>
      <c r="D67" s="72"/>
      <c r="E67" s="100" t="s">
        <v>105</v>
      </c>
      <c r="F67" s="100" t="s">
        <v>106</v>
      </c>
      <c r="G67" s="72"/>
      <c r="H67" s="73"/>
      <c r="I67" s="100" t="s">
        <v>290</v>
      </c>
    </row>
    <row r="68" spans="3:35" ht="39" thickBot="1" x14ac:dyDescent="0.3">
      <c r="C68" s="74" t="s">
        <v>2</v>
      </c>
      <c r="D68" s="16" t="s">
        <v>166</v>
      </c>
      <c r="E68" s="75">
        <v>1.0900000000000001</v>
      </c>
      <c r="F68" s="75">
        <v>1.0900000000000001</v>
      </c>
      <c r="G68" s="114" t="s">
        <v>6</v>
      </c>
      <c r="H68" s="121" t="s">
        <v>179</v>
      </c>
      <c r="I68" s="75">
        <v>1.0900000000000001</v>
      </c>
    </row>
    <row r="69" spans="3:35" ht="26.25" thickBot="1" x14ac:dyDescent="0.3">
      <c r="C69" s="76" t="s">
        <v>176</v>
      </c>
      <c r="D69" s="19" t="s">
        <v>115</v>
      </c>
      <c r="E69" s="145"/>
      <c r="F69" s="77">
        <v>4.58</v>
      </c>
      <c r="G69" s="115" t="s">
        <v>170</v>
      </c>
      <c r="H69" s="155" t="s">
        <v>177</v>
      </c>
      <c r="I69" s="145"/>
      <c r="J69" s="78"/>
      <c r="K69" s="26"/>
      <c r="L69" s="26"/>
      <c r="M69" s="26"/>
    </row>
    <row r="70" spans="3:35" ht="26.1" customHeight="1" thickBot="1" x14ac:dyDescent="0.3">
      <c r="C70" s="373" t="s">
        <v>3</v>
      </c>
      <c r="D70" s="19" t="s">
        <v>40</v>
      </c>
      <c r="E70" s="199">
        <f>2.3/3</f>
        <v>0.76666666666666661</v>
      </c>
      <c r="F70" s="146"/>
      <c r="G70" s="115" t="s">
        <v>5</v>
      </c>
      <c r="H70" s="331" t="s">
        <v>256</v>
      </c>
      <c r="I70" s="199">
        <f>E70*3</f>
        <v>2.2999999999999998</v>
      </c>
      <c r="J70" s="78"/>
      <c r="K70" s="26"/>
      <c r="L70" s="26"/>
      <c r="M70" s="26"/>
      <c r="R70" s="1"/>
      <c r="AI70" s="3"/>
    </row>
    <row r="71" spans="3:35" ht="15" customHeight="1" thickBot="1" x14ac:dyDescent="0.3">
      <c r="C71" s="374"/>
      <c r="D71" s="19" t="s">
        <v>84</v>
      </c>
      <c r="E71" s="199">
        <f>3.06/3</f>
        <v>1.02</v>
      </c>
      <c r="F71" s="146"/>
      <c r="G71" s="353" t="s">
        <v>203</v>
      </c>
      <c r="H71" s="332"/>
      <c r="I71" s="199">
        <f>E71*3</f>
        <v>3.06</v>
      </c>
      <c r="J71" s="82"/>
      <c r="K71" s="26"/>
      <c r="L71" s="26"/>
      <c r="M71" s="26"/>
      <c r="R71" s="1"/>
      <c r="AI71" s="3"/>
    </row>
    <row r="72" spans="3:35" ht="18" customHeight="1" thickBot="1" x14ac:dyDescent="0.3">
      <c r="C72" s="374"/>
      <c r="D72" s="19" t="s">
        <v>42</v>
      </c>
      <c r="E72" s="199">
        <f>2.58/3</f>
        <v>0.86</v>
      </c>
      <c r="F72" s="146"/>
      <c r="G72" s="354"/>
      <c r="H72" s="333"/>
      <c r="I72" s="199">
        <f>E72*3</f>
        <v>2.58</v>
      </c>
      <c r="J72" s="26"/>
      <c r="K72" s="26"/>
      <c r="L72" s="26"/>
      <c r="M72" s="26"/>
      <c r="R72" s="1"/>
      <c r="AI72" s="3"/>
    </row>
    <row r="73" spans="3:35" ht="18" customHeight="1" thickBot="1" x14ac:dyDescent="0.3">
      <c r="C73" s="375"/>
      <c r="D73" s="19" t="s">
        <v>103</v>
      </c>
      <c r="E73" s="146"/>
      <c r="F73" s="199">
        <v>5.12</v>
      </c>
      <c r="G73" s="115" t="s">
        <v>104</v>
      </c>
      <c r="H73" s="154" t="s">
        <v>175</v>
      </c>
      <c r="I73" s="145"/>
      <c r="J73" s="26"/>
      <c r="K73" s="26"/>
      <c r="L73" s="26"/>
      <c r="M73" s="26"/>
      <c r="R73" s="1"/>
      <c r="AI73" s="3"/>
    </row>
    <row r="74" spans="3:35" ht="70.5" customHeight="1" thickBot="1" x14ac:dyDescent="0.3">
      <c r="C74" s="76" t="s">
        <v>4</v>
      </c>
      <c r="D74" s="19" t="s">
        <v>43</v>
      </c>
      <c r="E74" s="77">
        <v>1.7</v>
      </c>
      <c r="F74" s="145"/>
      <c r="G74" s="115" t="s">
        <v>6</v>
      </c>
      <c r="H74" s="121" t="s">
        <v>122</v>
      </c>
      <c r="I74" s="199">
        <f>E74*3</f>
        <v>5.0999999999999996</v>
      </c>
      <c r="J74" s="26"/>
      <c r="K74" s="26"/>
      <c r="L74" s="26"/>
      <c r="M74" s="26"/>
      <c r="R74" s="1"/>
      <c r="AI74" s="3"/>
    </row>
    <row r="75" spans="3:35" ht="57.95" customHeight="1" thickBot="1" x14ac:dyDescent="0.3">
      <c r="C75" s="74" t="s">
        <v>11</v>
      </c>
      <c r="D75" s="19" t="s">
        <v>102</v>
      </c>
      <c r="E75" s="77">
        <f>3.52/3</f>
        <v>1.1733333333333333</v>
      </c>
      <c r="F75" s="145"/>
      <c r="G75" s="350" t="s">
        <v>174</v>
      </c>
      <c r="H75" s="121" t="s">
        <v>167</v>
      </c>
      <c r="I75" s="199">
        <f>E75*3</f>
        <v>3.52</v>
      </c>
      <c r="J75" s="26"/>
      <c r="K75" s="26"/>
      <c r="L75" s="26"/>
      <c r="M75" s="26"/>
      <c r="R75" s="1"/>
      <c r="AI75" s="3"/>
    </row>
    <row r="76" spans="3:35" ht="28.9" customHeight="1" thickBot="1" x14ac:dyDescent="0.3">
      <c r="C76" s="373" t="s">
        <v>154</v>
      </c>
      <c r="D76" s="16" t="s">
        <v>44</v>
      </c>
      <c r="E76" s="21">
        <v>1.58</v>
      </c>
      <c r="F76" s="21">
        <v>1.58</v>
      </c>
      <c r="G76" s="351"/>
      <c r="H76" s="331" t="s">
        <v>164</v>
      </c>
      <c r="I76" s="21">
        <v>1.58</v>
      </c>
      <c r="J76" s="26"/>
      <c r="K76" s="26"/>
      <c r="L76" s="26"/>
      <c r="M76" s="26"/>
      <c r="R76" s="1"/>
      <c r="AI76" s="3"/>
    </row>
    <row r="77" spans="3:35" ht="20.45" customHeight="1" thickBot="1" x14ac:dyDescent="0.3">
      <c r="C77" s="374"/>
      <c r="D77" s="16" t="s">
        <v>45</v>
      </c>
      <c r="E77" s="21">
        <v>9.1</v>
      </c>
      <c r="F77" s="22">
        <v>9.1</v>
      </c>
      <c r="G77" s="351"/>
      <c r="H77" s="332"/>
      <c r="I77" s="21">
        <v>9.1</v>
      </c>
      <c r="J77" s="71"/>
      <c r="K77" s="26"/>
      <c r="L77" s="26"/>
      <c r="M77" s="71"/>
      <c r="R77" s="1"/>
      <c r="AI77" s="3"/>
    </row>
    <row r="78" spans="3:35" ht="27.6" customHeight="1" thickBot="1" x14ac:dyDescent="0.3">
      <c r="C78" s="375"/>
      <c r="D78" s="16" t="s">
        <v>46</v>
      </c>
      <c r="E78" s="21">
        <v>4.75</v>
      </c>
      <c r="F78" s="21">
        <v>4.75</v>
      </c>
      <c r="G78" s="352"/>
      <c r="H78" s="333"/>
      <c r="I78" s="21">
        <v>4.75</v>
      </c>
      <c r="J78" s="71"/>
      <c r="K78" s="26"/>
      <c r="L78" s="26"/>
      <c r="M78" s="26"/>
      <c r="R78" s="1"/>
      <c r="AI78" s="3"/>
    </row>
    <row r="79" spans="3:35" ht="24.95" customHeight="1" x14ac:dyDescent="0.25">
      <c r="E79" s="80"/>
      <c r="F79" s="80"/>
      <c r="H79" s="3"/>
      <c r="I79" s="266"/>
      <c r="J79" s="71"/>
      <c r="K79" s="26"/>
      <c r="L79" s="26"/>
      <c r="M79" s="26"/>
    </row>
    <row r="80" spans="3:35" ht="24.95" customHeight="1" x14ac:dyDescent="0.25">
      <c r="J80" s="71"/>
      <c r="K80" s="26"/>
      <c r="L80" s="26"/>
      <c r="M80" s="26"/>
    </row>
    <row r="81" spans="3:13" ht="18.75" x14ac:dyDescent="0.25">
      <c r="C81" s="51" t="s">
        <v>119</v>
      </c>
      <c r="D81" s="48"/>
      <c r="E81" s="48"/>
      <c r="F81" s="49"/>
      <c r="G81" s="48"/>
      <c r="H81" s="54"/>
      <c r="J81" s="71"/>
      <c r="K81" s="26"/>
      <c r="L81" s="26"/>
      <c r="M81" s="26"/>
    </row>
    <row r="82" spans="3:13" ht="15.75" thickBot="1" x14ac:dyDescent="0.3">
      <c r="J82" s="71"/>
      <c r="K82" s="26"/>
      <c r="L82" s="26"/>
      <c r="M82" s="26"/>
    </row>
    <row r="83" spans="3:13" ht="26.25" thickBot="1" x14ac:dyDescent="0.3">
      <c r="C83" s="72"/>
      <c r="D83" s="72"/>
      <c r="E83" s="123" t="s">
        <v>120</v>
      </c>
      <c r="F83" s="79"/>
      <c r="G83" s="72"/>
      <c r="H83" s="73"/>
    </row>
    <row r="84" spans="3:13" ht="26.25" thickBot="1" x14ac:dyDescent="0.3">
      <c r="C84" s="74" t="s">
        <v>276</v>
      </c>
      <c r="D84" s="24" t="s">
        <v>277</v>
      </c>
      <c r="E84" s="75">
        <v>0.55000000000000004</v>
      </c>
      <c r="F84" s="118" t="s">
        <v>6</v>
      </c>
      <c r="G84" s="340" t="s">
        <v>181</v>
      </c>
      <c r="H84" s="341"/>
      <c r="I84" s="265"/>
      <c r="J84" s="71"/>
      <c r="K84" s="26"/>
      <c r="L84" s="26"/>
      <c r="M84" s="26"/>
    </row>
    <row r="85" spans="3:13" ht="24.95" customHeight="1" x14ac:dyDescent="0.25">
      <c r="G85" s="98"/>
      <c r="H85" s="99"/>
      <c r="I85" s="274"/>
      <c r="J85" s="71"/>
      <c r="K85" s="26"/>
      <c r="L85" s="26"/>
      <c r="M85" s="26"/>
    </row>
    <row r="86" spans="3:13" ht="24.95" customHeight="1" x14ac:dyDescent="0.25">
      <c r="G86" s="98"/>
      <c r="H86" s="99"/>
      <c r="J86" s="71"/>
      <c r="K86" s="26"/>
      <c r="L86" s="26"/>
      <c r="M86" s="26"/>
    </row>
    <row r="87" spans="3:13" ht="18.75" x14ac:dyDescent="0.25">
      <c r="C87" s="51" t="s">
        <v>140</v>
      </c>
      <c r="D87" s="48"/>
      <c r="E87" s="48"/>
      <c r="F87" s="49"/>
      <c r="G87" s="48"/>
      <c r="H87" s="54"/>
      <c r="I87" s="267"/>
    </row>
    <row r="88" spans="3:13" x14ac:dyDescent="0.25">
      <c r="C88" s="3" t="s">
        <v>278</v>
      </c>
    </row>
    <row r="89" spans="3:13" ht="15" x14ac:dyDescent="0.25">
      <c r="J89" s="71"/>
      <c r="K89" s="26"/>
      <c r="L89" s="26"/>
      <c r="M89" s="26"/>
    </row>
    <row r="90" spans="3:13" ht="35.450000000000003" customHeight="1" thickBot="1" x14ac:dyDescent="0.3">
      <c r="J90" s="71"/>
      <c r="K90" s="26"/>
      <c r="L90" s="26"/>
      <c r="M90" s="26"/>
    </row>
    <row r="91" spans="3:13" ht="35.450000000000003" customHeight="1" thickBot="1" x14ac:dyDescent="0.3">
      <c r="C91" s="72"/>
      <c r="D91" s="72"/>
      <c r="E91" s="123" t="s">
        <v>245</v>
      </c>
      <c r="F91" s="186"/>
      <c r="G91" s="72"/>
      <c r="H91" s="73"/>
      <c r="J91" s="71"/>
      <c r="K91" s="26"/>
      <c r="L91" s="26"/>
      <c r="M91" s="26"/>
    </row>
    <row r="92" spans="3:13" ht="45" customHeight="1" thickBot="1" x14ac:dyDescent="0.3">
      <c r="C92" s="74" t="s">
        <v>250</v>
      </c>
      <c r="D92" s="24" t="s">
        <v>279</v>
      </c>
      <c r="E92" s="75">
        <v>120</v>
      </c>
      <c r="F92" s="118" t="s">
        <v>6</v>
      </c>
      <c r="G92" s="329" t="s">
        <v>310</v>
      </c>
      <c r="H92" s="330"/>
      <c r="I92" s="277"/>
      <c r="J92" s="71"/>
      <c r="K92" s="320"/>
      <c r="L92" s="26"/>
      <c r="M92" s="26"/>
    </row>
    <row r="93" spans="3:13" ht="35.450000000000003" customHeight="1" x14ac:dyDescent="0.25">
      <c r="J93" s="71"/>
      <c r="K93" s="26"/>
      <c r="L93" s="26"/>
      <c r="M93" s="26"/>
    </row>
    <row r="94" spans="3:13" ht="35.450000000000003" customHeight="1" x14ac:dyDescent="0.25">
      <c r="J94" s="71"/>
      <c r="K94" s="26"/>
      <c r="L94" s="26"/>
      <c r="M94" s="26"/>
    </row>
    <row r="95" spans="3:13" ht="18.75" x14ac:dyDescent="0.25">
      <c r="C95" s="51" t="s">
        <v>138</v>
      </c>
      <c r="D95" s="48"/>
      <c r="E95" s="48"/>
      <c r="F95" s="49"/>
      <c r="G95" s="48"/>
      <c r="H95" s="54"/>
      <c r="J95" s="26"/>
      <c r="K95" s="26"/>
      <c r="L95" s="26"/>
      <c r="M95" s="26"/>
    </row>
    <row r="97" spans="3:35" ht="16.5" thickBot="1" x14ac:dyDescent="0.3">
      <c r="C97" s="112"/>
      <c r="D97"/>
      <c r="E97"/>
      <c r="F97"/>
      <c r="G97"/>
      <c r="H97"/>
      <c r="J97" s="71"/>
      <c r="K97" s="26"/>
      <c r="L97" s="26"/>
      <c r="M97" s="26"/>
    </row>
    <row r="98" spans="3:35" ht="12.95" customHeight="1" x14ac:dyDescent="0.25">
      <c r="C98" s="378"/>
      <c r="D98" s="383"/>
      <c r="E98" s="176"/>
      <c r="F98" s="370" t="s">
        <v>270</v>
      </c>
      <c r="H98" s="3"/>
      <c r="R98" s="1"/>
      <c r="AI98" s="3"/>
    </row>
    <row r="99" spans="3:35" ht="12.95" customHeight="1" x14ac:dyDescent="0.25">
      <c r="C99" s="378"/>
      <c r="D99" s="383"/>
      <c r="E99" s="176"/>
      <c r="F99" s="371"/>
      <c r="H99" s="3"/>
      <c r="K99" s="1"/>
      <c r="L99" s="1"/>
      <c r="M99" s="1"/>
      <c r="N99" s="1"/>
      <c r="O99" s="1"/>
      <c r="P99" s="1"/>
      <c r="Q99" s="1"/>
      <c r="R99" s="1"/>
      <c r="AB99" s="3"/>
      <c r="AC99" s="3"/>
      <c r="AD99" s="3"/>
      <c r="AE99" s="3"/>
      <c r="AF99" s="3"/>
      <c r="AG99" s="3"/>
      <c r="AH99" s="3"/>
      <c r="AI99" s="3"/>
    </row>
    <row r="100" spans="3:35" ht="44.25" customHeight="1" thickBot="1" x14ac:dyDescent="0.3">
      <c r="C100" s="379"/>
      <c r="D100" s="379"/>
      <c r="E100" s="176"/>
      <c r="F100" s="372"/>
      <c r="H100" s="3"/>
      <c r="K100" s="1"/>
      <c r="L100" s="1"/>
      <c r="M100" s="1"/>
      <c r="N100" s="1"/>
      <c r="O100" s="1"/>
      <c r="P100" s="1"/>
      <c r="Q100" s="1"/>
      <c r="R100" s="1"/>
      <c r="AB100" s="3"/>
      <c r="AC100" s="3"/>
      <c r="AD100" s="3"/>
      <c r="AE100" s="3"/>
      <c r="AF100" s="3"/>
      <c r="AG100" s="3"/>
      <c r="AH100" s="3"/>
      <c r="AI100" s="3"/>
    </row>
    <row r="101" spans="3:35" ht="35.450000000000003" customHeight="1" thickBot="1" x14ac:dyDescent="0.3">
      <c r="C101" s="373" t="s">
        <v>136</v>
      </c>
      <c r="D101" s="278" t="s">
        <v>204</v>
      </c>
      <c r="E101" s="177" t="s">
        <v>195</v>
      </c>
      <c r="F101" s="255">
        <v>15</v>
      </c>
      <c r="G101" s="183"/>
      <c r="H101" s="3"/>
      <c r="K101" s="1"/>
      <c r="L101" s="1"/>
      <c r="M101" s="1"/>
      <c r="N101" s="1"/>
      <c r="O101" s="1"/>
      <c r="P101" s="1"/>
      <c r="Q101" s="1"/>
      <c r="R101" s="1"/>
      <c r="AB101" s="3"/>
      <c r="AC101" s="3"/>
      <c r="AD101" s="3"/>
      <c r="AE101" s="3"/>
      <c r="AF101" s="3"/>
      <c r="AG101" s="3"/>
      <c r="AH101" s="3"/>
      <c r="AI101" s="3"/>
    </row>
    <row r="102" spans="3:35" ht="15.75" thickBot="1" x14ac:dyDescent="0.3">
      <c r="C102" s="374"/>
      <c r="D102" s="279" t="s">
        <v>268</v>
      </c>
      <c r="E102" s="177" t="s">
        <v>196</v>
      </c>
      <c r="F102" s="255">
        <v>10</v>
      </c>
      <c r="G102" s="98"/>
      <c r="H102" s="3"/>
      <c r="K102" s="1"/>
      <c r="L102" s="1"/>
      <c r="M102" s="1"/>
      <c r="N102" s="1"/>
      <c r="O102" s="1"/>
      <c r="P102" s="1"/>
      <c r="Q102" s="1"/>
      <c r="R102" s="1"/>
      <c r="AB102" s="3"/>
      <c r="AC102" s="3"/>
      <c r="AD102" s="3"/>
      <c r="AE102" s="3"/>
      <c r="AF102" s="3"/>
      <c r="AG102" s="3"/>
      <c r="AH102" s="3"/>
      <c r="AI102" s="3"/>
    </row>
    <row r="103" spans="3:35" ht="15.75" thickBot="1" x14ac:dyDescent="0.3">
      <c r="C103" s="374"/>
      <c r="D103" s="279" t="s">
        <v>269</v>
      </c>
      <c r="E103" s="177" t="s">
        <v>197</v>
      </c>
      <c r="F103" s="255">
        <v>8</v>
      </c>
      <c r="G103" s="98"/>
      <c r="H103" s="3"/>
      <c r="K103" s="1"/>
      <c r="L103" s="1"/>
      <c r="M103" s="1"/>
      <c r="N103" s="1"/>
      <c r="O103" s="1"/>
      <c r="P103" s="1"/>
      <c r="Q103" s="1"/>
      <c r="R103" s="1"/>
      <c r="AB103" s="3"/>
      <c r="AC103" s="3"/>
      <c r="AD103" s="3"/>
      <c r="AE103" s="3"/>
      <c r="AF103" s="3"/>
      <c r="AG103" s="3"/>
      <c r="AH103" s="3"/>
      <c r="AI103" s="3"/>
    </row>
    <row r="104" spans="3:35" ht="15.75" thickBot="1" x14ac:dyDescent="0.3">
      <c r="C104" s="375"/>
      <c r="D104" s="279" t="s">
        <v>280</v>
      </c>
      <c r="E104" s="177" t="s">
        <v>267</v>
      </c>
      <c r="F104" s="255">
        <v>5</v>
      </c>
      <c r="G104" s="98"/>
      <c r="H104" s="3"/>
      <c r="K104" s="1"/>
      <c r="L104" s="1"/>
      <c r="M104" s="1"/>
      <c r="N104" s="1"/>
      <c r="O104" s="1"/>
      <c r="P104" s="1"/>
      <c r="Q104" s="1"/>
      <c r="R104" s="1"/>
      <c r="AB104" s="3"/>
      <c r="AC104" s="3"/>
      <c r="AD104" s="3"/>
      <c r="AE104" s="3"/>
      <c r="AF104" s="3"/>
      <c r="AG104" s="3"/>
      <c r="AH104" s="3"/>
      <c r="AI104" s="3"/>
    </row>
    <row r="105" spans="3:35" ht="20.100000000000001" customHeight="1" x14ac:dyDescent="0.25">
      <c r="C105" s="113"/>
      <c r="D105" s="113"/>
      <c r="E105" s="113"/>
      <c r="F105" s="113"/>
      <c r="G105" s="113"/>
      <c r="H105" s="113"/>
      <c r="L105" s="1"/>
      <c r="M105" s="1"/>
      <c r="N105" s="1"/>
      <c r="O105" s="1"/>
      <c r="P105" s="1"/>
      <c r="Q105" s="1"/>
      <c r="R105" s="1"/>
      <c r="AC105" s="3"/>
      <c r="AD105" s="3"/>
      <c r="AE105" s="3"/>
      <c r="AF105" s="3"/>
      <c r="AG105" s="3"/>
      <c r="AH105" s="3"/>
      <c r="AI105" s="3"/>
    </row>
    <row r="106" spans="3:35" ht="20.100000000000001" customHeight="1" x14ac:dyDescent="0.25">
      <c r="C106" s="113"/>
      <c r="D106" s="113"/>
      <c r="E106" s="113"/>
      <c r="F106" s="113"/>
      <c r="G106" s="113"/>
      <c r="H106" s="113"/>
    </row>
    <row r="107" spans="3:35" ht="18.75" x14ac:dyDescent="0.25">
      <c r="C107" s="51" t="s">
        <v>139</v>
      </c>
      <c r="D107" s="48"/>
      <c r="E107" s="48"/>
      <c r="F107" s="49"/>
      <c r="G107" s="48"/>
      <c r="H107" s="54"/>
      <c r="I107" s="268"/>
    </row>
    <row r="108" spans="3:35" x14ac:dyDescent="0.25">
      <c r="C108" s="113"/>
      <c r="D108" s="113"/>
      <c r="E108" s="113"/>
      <c r="F108" s="113"/>
      <c r="G108" s="113"/>
      <c r="H108" s="113"/>
      <c r="I108" s="268"/>
    </row>
    <row r="109" spans="3:35" ht="15.75" thickBot="1" x14ac:dyDescent="0.3">
      <c r="C109" s="113"/>
      <c r="D109" s="113"/>
      <c r="E109" s="113"/>
      <c r="F109" s="113"/>
      <c r="G109" s="113"/>
      <c r="H109" s="113"/>
      <c r="J109" s="71"/>
      <c r="K109" s="26"/>
      <c r="L109" s="26"/>
      <c r="M109" s="26"/>
    </row>
    <row r="110" spans="3:35" ht="50.45" customHeight="1" thickBot="1" x14ac:dyDescent="0.3">
      <c r="C110" s="113"/>
      <c r="D110" s="113"/>
      <c r="F110" s="124" t="s">
        <v>273</v>
      </c>
      <c r="H110" s="3"/>
      <c r="I110" s="268"/>
    </row>
    <row r="111" spans="3:35" ht="39.950000000000003" customHeight="1" thickBot="1" x14ac:dyDescent="0.3">
      <c r="C111" s="380" t="s">
        <v>137</v>
      </c>
      <c r="D111" s="278" t="s">
        <v>204</v>
      </c>
      <c r="E111" s="177" t="s">
        <v>195</v>
      </c>
      <c r="F111" s="256">
        <v>17</v>
      </c>
      <c r="H111" s="3"/>
      <c r="P111" s="1"/>
      <c r="Q111" s="1"/>
      <c r="R111" s="1"/>
      <c r="AG111" s="3"/>
      <c r="AH111" s="3"/>
      <c r="AI111" s="3"/>
    </row>
    <row r="112" spans="3:35" ht="15.75" thickBot="1" x14ac:dyDescent="0.3">
      <c r="C112" s="381"/>
      <c r="D112" s="279" t="s">
        <v>268</v>
      </c>
      <c r="E112" s="177" t="s">
        <v>196</v>
      </c>
      <c r="F112" s="256">
        <v>12</v>
      </c>
      <c r="H112" s="3"/>
      <c r="P112" s="1"/>
      <c r="Q112" s="1"/>
      <c r="R112" s="1"/>
      <c r="AG112" s="3"/>
      <c r="AH112" s="3"/>
      <c r="AI112" s="3"/>
    </row>
    <row r="113" spans="3:35" ht="15.75" thickBot="1" x14ac:dyDescent="0.3">
      <c r="C113" s="381"/>
      <c r="D113" s="279" t="s">
        <v>269</v>
      </c>
      <c r="E113" s="177" t="s">
        <v>197</v>
      </c>
      <c r="F113" s="256">
        <v>9</v>
      </c>
      <c r="H113" s="3"/>
      <c r="P113" s="1"/>
      <c r="Q113" s="1"/>
      <c r="R113" s="1"/>
      <c r="AG113" s="3"/>
      <c r="AH113" s="3"/>
      <c r="AI113" s="3"/>
    </row>
    <row r="114" spans="3:35" ht="15.75" thickBot="1" x14ac:dyDescent="0.3">
      <c r="C114" s="382"/>
      <c r="D114" s="279" t="s">
        <v>280</v>
      </c>
      <c r="E114" s="177" t="s">
        <v>267</v>
      </c>
      <c r="F114" s="256">
        <v>9</v>
      </c>
      <c r="H114" s="3"/>
      <c r="P114" s="1"/>
      <c r="Q114" s="1"/>
      <c r="R114" s="1"/>
      <c r="AG114" s="3"/>
      <c r="AH114" s="3"/>
      <c r="AI114" s="3"/>
    </row>
    <row r="115" spans="3:35" ht="20.100000000000001" customHeight="1" x14ac:dyDescent="0.25">
      <c r="C115" s="112"/>
      <c r="D115"/>
      <c r="E115"/>
      <c r="F115"/>
      <c r="G115"/>
      <c r="H115"/>
      <c r="P115" s="1"/>
      <c r="Q115" s="1"/>
      <c r="R115" s="1"/>
      <c r="AG115" s="3"/>
      <c r="AH115" s="3"/>
      <c r="AI115" s="3"/>
    </row>
    <row r="118" spans="3:35" ht="18.75" x14ac:dyDescent="0.25">
      <c r="C118" s="51" t="s">
        <v>262</v>
      </c>
      <c r="D118" s="48"/>
      <c r="E118" s="48"/>
      <c r="F118" s="49"/>
      <c r="G118" s="48"/>
      <c r="H118" s="54"/>
      <c r="J118" s="71"/>
      <c r="K118" s="26"/>
      <c r="L118" s="26"/>
      <c r="M118" s="26"/>
    </row>
    <row r="120" spans="3:35" ht="13.5" thickBot="1" x14ac:dyDescent="0.3"/>
    <row r="121" spans="3:35" ht="15" x14ac:dyDescent="0.25">
      <c r="C121" s="280" t="s">
        <v>205</v>
      </c>
      <c r="D121" s="281" t="s">
        <v>207</v>
      </c>
    </row>
    <row r="122" spans="3:35" ht="33" customHeight="1" x14ac:dyDescent="0.25">
      <c r="C122" s="376" t="s">
        <v>283</v>
      </c>
      <c r="D122" s="282" t="s">
        <v>206</v>
      </c>
    </row>
    <row r="123" spans="3:35" ht="26.45" customHeight="1" thickBot="1" x14ac:dyDescent="0.3">
      <c r="C123" s="377"/>
      <c r="D123" s="283">
        <v>500</v>
      </c>
    </row>
  </sheetData>
  <sheetProtection algorithmName="SHA-512" hashValue="3XxbRd358k7VwS+gyMptP6FCIRP9P+ppI0Xst1gRl0jt5+d9PJvJXr7lbMeELfM20JWGi1iRg/yMrfxhxv5lGg==" saltValue="noEBCWE/ZwKvHHSoh9Uv9A==" spinCount="100000" sheet="1" objects="1" scenarios="1"/>
  <mergeCells count="43">
    <mergeCell ref="E2:H2"/>
    <mergeCell ref="E3:H3"/>
    <mergeCell ref="E4:H4"/>
    <mergeCell ref="E6:H6"/>
    <mergeCell ref="F55:F56"/>
    <mergeCell ref="G42:H42"/>
    <mergeCell ref="G32:H32"/>
    <mergeCell ref="G16:G17"/>
    <mergeCell ref="H15:H17"/>
    <mergeCell ref="C25:F25"/>
    <mergeCell ref="F40:F41"/>
    <mergeCell ref="E5:H5"/>
    <mergeCell ref="F34:F38"/>
    <mergeCell ref="C15:C17"/>
    <mergeCell ref="C19:C23"/>
    <mergeCell ref="C33:C38"/>
    <mergeCell ref="F98:F100"/>
    <mergeCell ref="C70:C73"/>
    <mergeCell ref="C54:C56"/>
    <mergeCell ref="C76:C78"/>
    <mergeCell ref="C122:C123"/>
    <mergeCell ref="C98:C100"/>
    <mergeCell ref="C101:C104"/>
    <mergeCell ref="C111:C114"/>
    <mergeCell ref="D98:D100"/>
    <mergeCell ref="I15:M15"/>
    <mergeCell ref="I22:M22"/>
    <mergeCell ref="G40:H41"/>
    <mergeCell ref="G39:H39"/>
    <mergeCell ref="G19:G23"/>
    <mergeCell ref="H19:H23"/>
    <mergeCell ref="G92:H92"/>
    <mergeCell ref="H70:H72"/>
    <mergeCell ref="G33:H38"/>
    <mergeCell ref="G84:H84"/>
    <mergeCell ref="G53:H53"/>
    <mergeCell ref="G54:H56"/>
    <mergeCell ref="G75:G78"/>
    <mergeCell ref="H76:H78"/>
    <mergeCell ref="G71:G72"/>
    <mergeCell ref="G59:H59"/>
    <mergeCell ref="G57:H57"/>
    <mergeCell ref="G58:H58"/>
  </mergeCells>
  <pageMargins left="0.43307086614173229" right="0.43307086614173229" top="0.39370078740157483" bottom="0.39370078740157483" header="0.31496062992125984" footer="0.31496062992125984"/>
  <pageSetup paperSize="9" scale="52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1"/>
  <sheetViews>
    <sheetView zoomScale="70" zoomScaleNormal="70" workbookViewId="0">
      <selection activeCell="S46" sqref="S46"/>
    </sheetView>
  </sheetViews>
  <sheetFormatPr baseColWidth="10" defaultRowHeight="15" x14ac:dyDescent="0.25"/>
  <cols>
    <col min="1" max="1" width="13.5703125" customWidth="1"/>
    <col min="2" max="2" width="14.85546875" customWidth="1"/>
    <col min="3" max="3" width="13.140625" customWidth="1"/>
    <col min="4" max="4" width="27" customWidth="1"/>
    <col min="5" max="8" width="17.140625" customWidth="1"/>
  </cols>
  <sheetData>
    <row r="1" spans="1:15" x14ac:dyDescent="0.25">
      <c r="A1" s="63"/>
    </row>
    <row r="2" spans="1:15" ht="26.25" x14ac:dyDescent="0.25">
      <c r="A2" s="10" t="s">
        <v>200</v>
      </c>
    </row>
    <row r="3" spans="1:15" ht="18.75" x14ac:dyDescent="0.25">
      <c r="A3" s="185" t="s">
        <v>15</v>
      </c>
    </row>
    <row r="4" spans="1:15" ht="18.75" x14ac:dyDescent="0.25">
      <c r="A4" s="185" t="s">
        <v>160</v>
      </c>
    </row>
    <row r="8" spans="1:15" ht="32.1" customHeight="1" x14ac:dyDescent="0.25">
      <c r="A8" s="473" t="s">
        <v>29</v>
      </c>
      <c r="B8" s="473"/>
      <c r="C8" s="172" t="s">
        <v>73</v>
      </c>
      <c r="D8" s="328"/>
    </row>
    <row r="9" spans="1:15" ht="30" x14ac:dyDescent="0.25">
      <c r="A9" s="168" t="s">
        <v>81</v>
      </c>
      <c r="B9" s="168" t="s">
        <v>193</v>
      </c>
      <c r="C9" s="168" t="s">
        <v>190</v>
      </c>
      <c r="D9" s="168" t="s">
        <v>198</v>
      </c>
    </row>
    <row r="10" spans="1:15" x14ac:dyDescent="0.25">
      <c r="A10" s="32" t="str">
        <f>IF(SYNTHESE!A127="","",SYNTHESE!A127)</f>
        <v/>
      </c>
      <c r="B10" s="32" t="str">
        <f>IF(SYNTHESE!B127="","",SYNTHESE!B127)</f>
        <v/>
      </c>
      <c r="C10" s="32" t="str">
        <f>IF(B10="","",SYNTHESE!C127)</f>
        <v/>
      </c>
      <c r="D10" s="181" t="str">
        <f>IF(B10="","",IF(AND(C10&lt;100,C10&gt;=25),"surface 1",IF(AND(C10&lt;=199,C10&gt;=100),"surface 2",IF(AND(C10&lt;=299,C10&gt;=200),"surface 3",IF(AND(C10&lt;=500,C10&gt;=300),"surface 4","erreur")))))</f>
        <v/>
      </c>
      <c r="E10" s="249"/>
      <c r="F10" s="249"/>
      <c r="G10" s="249"/>
      <c r="H10" s="249"/>
      <c r="I10" s="249"/>
      <c r="J10" s="249"/>
      <c r="K10" s="249"/>
      <c r="L10" s="249"/>
      <c r="M10" s="249"/>
      <c r="N10" s="249"/>
      <c r="O10" s="249"/>
    </row>
    <row r="11" spans="1:15" x14ac:dyDescent="0.25">
      <c r="A11" s="32" t="str">
        <f>IF(SYNTHESE!A128="","",SYNTHESE!A128)</f>
        <v/>
      </c>
      <c r="B11" s="32" t="str">
        <f>IF(SYNTHESE!B128="","",SYNTHESE!B128)</f>
        <v/>
      </c>
      <c r="C11" s="32" t="str">
        <f>IF(B11="","",SYNTHESE!C128)</f>
        <v/>
      </c>
      <c r="D11" s="181" t="str">
        <f t="shared" ref="D11:D14" si="0">IF(B11="","",IF(AND(C11&lt;100,C11&gt;=25),"surface 1",IF(AND(C11&lt;=199,C11&gt;=100),"surface 2",IF(AND(C11&lt;=299,C11&gt;=200),"surface 3",IF(AND(C11&lt;=500,C11&gt;=300),"surface 4","erreur")))))</f>
        <v/>
      </c>
      <c r="E11" s="249"/>
      <c r="F11" s="249"/>
      <c r="G11" s="249"/>
      <c r="H11" s="249"/>
      <c r="I11" s="249"/>
      <c r="J11" s="249"/>
      <c r="K11" s="249"/>
      <c r="L11" s="249"/>
      <c r="M11" s="249"/>
      <c r="N11" s="249"/>
      <c r="O11" s="249"/>
    </row>
    <row r="12" spans="1:15" x14ac:dyDescent="0.25">
      <c r="A12" s="32" t="str">
        <f>IF(SYNTHESE!A129="","",SYNTHESE!A129)</f>
        <v/>
      </c>
      <c r="B12" s="32" t="str">
        <f>IF(SYNTHESE!B129="","",SYNTHESE!B129)</f>
        <v/>
      </c>
      <c r="C12" s="32" t="str">
        <f>IF(B12="","",SYNTHESE!C129)</f>
        <v/>
      </c>
      <c r="D12" s="181" t="str">
        <f t="shared" si="0"/>
        <v/>
      </c>
    </row>
    <row r="13" spans="1:15" x14ac:dyDescent="0.25">
      <c r="A13" s="32" t="str">
        <f>IF(SYNTHESE!A130="","",SYNTHESE!A130)</f>
        <v/>
      </c>
      <c r="B13" s="32" t="str">
        <f>IF(SYNTHESE!B130="","",SYNTHESE!B130)</f>
        <v/>
      </c>
      <c r="C13" s="32" t="str">
        <f>IF(B13="","",SYNTHESE!C130)</f>
        <v/>
      </c>
      <c r="D13" s="181" t="str">
        <f t="shared" si="0"/>
        <v/>
      </c>
    </row>
    <row r="14" spans="1:15" x14ac:dyDescent="0.25">
      <c r="A14" s="32" t="str">
        <f>IF(SYNTHESE!A131="","",SYNTHESE!A131)</f>
        <v/>
      </c>
      <c r="B14" s="32" t="str">
        <f>IF(SYNTHESE!B131="","",SYNTHESE!B131)</f>
        <v/>
      </c>
      <c r="C14" s="32" t="str">
        <f>IF(B14="","",SYNTHESE!C131)</f>
        <v/>
      </c>
      <c r="D14" s="181" t="str">
        <f t="shared" si="0"/>
        <v/>
      </c>
    </row>
    <row r="16" spans="1:15" x14ac:dyDescent="0.25">
      <c r="A16" s="38" t="s">
        <v>275</v>
      </c>
    </row>
    <row r="18" spans="1:5" ht="36" customHeight="1" x14ac:dyDescent="0.25">
      <c r="A18" s="473" t="s">
        <v>29</v>
      </c>
      <c r="B18" s="473"/>
      <c r="C18" s="466" t="s">
        <v>271</v>
      </c>
      <c r="D18" s="485" t="s">
        <v>274</v>
      </c>
      <c r="E18" s="257"/>
    </row>
    <row r="19" spans="1:5" ht="30" x14ac:dyDescent="0.25">
      <c r="A19" s="168" t="s">
        <v>51</v>
      </c>
      <c r="B19" s="168" t="s">
        <v>194</v>
      </c>
      <c r="C19" s="467"/>
      <c r="D19" s="486"/>
    </row>
    <row r="20" spans="1:5" x14ac:dyDescent="0.25">
      <c r="A20" s="32" t="str">
        <f>IF(SYNTHESE!A127="","",SYNTHESE!A127)</f>
        <v/>
      </c>
      <c r="B20" s="32" t="str">
        <f>IF(SYNTHESE!B127="","",SYNTHESE!B127)</f>
        <v/>
      </c>
      <c r="C20" s="182" t="str">
        <f>IF(B20="","",IF(D10="surface 1",Barèmes!$F$101*C10,IF(D10="surface 2",Barèmes!$F$102*C10,IF(D10="surface 3",Barèmes!$F$103*C10,IF(D10="surface 4",Barèmes!$F$104*C10,"erreur")))))</f>
        <v/>
      </c>
      <c r="D20" s="39" t="str">
        <f>IF(B20="","",C20)</f>
        <v/>
      </c>
    </row>
    <row r="21" spans="1:5" x14ac:dyDescent="0.25">
      <c r="A21" s="32" t="str">
        <f>IF(SYNTHESE!A128="","",SYNTHESE!A128)</f>
        <v/>
      </c>
      <c r="B21" s="32" t="str">
        <f>IF(SYNTHESE!B128="","",SYNTHESE!B128)</f>
        <v/>
      </c>
      <c r="C21" s="182" t="str">
        <f>IF(B21="","",IF(D11="surface 1",Barèmes!$F$101*C11,IF(D11="surface 2",Barèmes!$F$102*C11,IF(D11="surface 3",Barèmes!$F$103*C11,IF(D11="surface 4",Barèmes!$F$104*C11,"erreur")))))</f>
        <v/>
      </c>
      <c r="D21" s="39" t="str">
        <f t="shared" ref="D21:D25" si="1">IF(B21="","",C21)</f>
        <v/>
      </c>
    </row>
    <row r="22" spans="1:5" x14ac:dyDescent="0.25">
      <c r="A22" s="32" t="str">
        <f>IF(SYNTHESE!A129="","",SYNTHESE!A129)</f>
        <v/>
      </c>
      <c r="B22" s="32" t="str">
        <f>IF(SYNTHESE!B129="","",SYNTHESE!B129)</f>
        <v/>
      </c>
      <c r="C22" s="182" t="str">
        <f>IF(B22="","",IF(D12="surface 1",Barèmes!$F$101*C12,IF(D12="surface 2",Barèmes!$F$102*C12,IF(D12="surface 3",Barèmes!$F$103*C12,IF(D12="surface 4",Barèmes!$F$104*C12,"erreur")))))</f>
        <v/>
      </c>
      <c r="D22" s="39" t="str">
        <f t="shared" si="1"/>
        <v/>
      </c>
    </row>
    <row r="23" spans="1:5" x14ac:dyDescent="0.25">
      <c r="A23" s="32" t="str">
        <f>IF(SYNTHESE!A130="","",SYNTHESE!A130)</f>
        <v/>
      </c>
      <c r="B23" s="32" t="str">
        <f>IF(SYNTHESE!B130="","",SYNTHESE!B130)</f>
        <v/>
      </c>
      <c r="C23" s="182" t="str">
        <f>IF(B23="","",IF(D13="surface 1",Barèmes!$F$101*C13,IF(D13="surface 2",Barèmes!$F$102*C13,IF(D13="surface 3",Barèmes!$F$103*C13,IF(D13="surface 4",Barèmes!$F$104*C13,"erreur")))))</f>
        <v/>
      </c>
      <c r="D23" s="39" t="str">
        <f t="shared" si="1"/>
        <v/>
      </c>
    </row>
    <row r="24" spans="1:5" x14ac:dyDescent="0.25">
      <c r="A24" s="32" t="str">
        <f>IF(SYNTHESE!A131="","",SYNTHESE!A131)</f>
        <v/>
      </c>
      <c r="B24" s="32" t="str">
        <f>IF(SYNTHESE!B131="","",SYNTHESE!B131)</f>
        <v/>
      </c>
      <c r="C24" s="182" t="str">
        <f>IF(B24="","",IF(D14="surface 1",Barèmes!$F$101*C14,IF(D14="surface 2",Barèmes!$F$102*C14,IF(D14="surface 3",Barèmes!$F$103*C14,IF(D14="surface 4",Barèmes!$F$104*C14,"erreur")))))</f>
        <v/>
      </c>
      <c r="D24" s="39" t="str">
        <f t="shared" si="1"/>
        <v/>
      </c>
    </row>
    <row r="25" spans="1:5" x14ac:dyDescent="0.25">
      <c r="A25" s="32" t="str">
        <f>IF(SYNTHESE!A132="","",SYNTHESE!A132)</f>
        <v/>
      </c>
      <c r="B25" s="32" t="str">
        <f>IF(SYNTHESE!B132="","",SYNTHESE!B132)</f>
        <v/>
      </c>
      <c r="C25" s="182" t="str">
        <f>IF(B25="","",IF(D15="surface 1",Barèmes!$F$101*C15,IF(D15="surface 2",Barèmes!$F$102*C15,IF(D15="surface 3",Barèmes!$F$103*C15,IF(D15="surface 4",Barèmes!$F$104*C15,"erreur")))))</f>
        <v/>
      </c>
      <c r="D25" s="39" t="str">
        <f t="shared" si="1"/>
        <v/>
      </c>
    </row>
    <row r="26" spans="1:5" ht="15.75" thickBot="1" x14ac:dyDescent="0.3">
      <c r="D26" s="57">
        <f>SUM(D20:D25)</f>
        <v>0</v>
      </c>
    </row>
    <row r="29" spans="1:5" x14ac:dyDescent="0.25">
      <c r="A29" t="s">
        <v>192</v>
      </c>
    </row>
    <row r="30" spans="1:5" x14ac:dyDescent="0.25">
      <c r="A30" t="s">
        <v>134</v>
      </c>
    </row>
    <row r="31" spans="1:5" x14ac:dyDescent="0.25">
      <c r="A31" t="s">
        <v>135</v>
      </c>
    </row>
  </sheetData>
  <sheetProtection algorithmName="SHA-512" hashValue="kr4QrgCuDm3OU5GHxmFputjU+QS80yrF486m76HczNKhFIKxTg8UyG2d5eTBsr+Geu6ZO/qHu7ZabaSG2nFAag==" saltValue="zhDd0chAM7Koyh3+0KcFYQ==" spinCount="100000" sheet="1" selectLockedCells="1" selectUnlockedCells="1"/>
  <mergeCells count="4">
    <mergeCell ref="C18:C19"/>
    <mergeCell ref="A18:B18"/>
    <mergeCell ref="D18:D19"/>
    <mergeCell ref="A8:B8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E16"/>
  <sheetViews>
    <sheetView zoomScale="96" zoomScaleNormal="96" workbookViewId="0">
      <selection activeCell="S46" sqref="S46"/>
    </sheetView>
  </sheetViews>
  <sheetFormatPr baseColWidth="10" defaultRowHeight="15" x14ac:dyDescent="0.25"/>
  <cols>
    <col min="1" max="1" width="25.42578125" customWidth="1"/>
    <col min="2" max="2" width="16.140625" customWidth="1"/>
    <col min="3" max="3" width="15.85546875" customWidth="1"/>
    <col min="4" max="4" width="23.140625" customWidth="1"/>
    <col min="5" max="5" width="34.28515625" customWidth="1"/>
  </cols>
  <sheetData>
    <row r="2" spans="1:5" ht="26.25" x14ac:dyDescent="0.25">
      <c r="A2" s="7" t="s">
        <v>264</v>
      </c>
    </row>
    <row r="3" spans="1:5" ht="18.75" x14ac:dyDescent="0.25">
      <c r="A3" s="8" t="s">
        <v>15</v>
      </c>
    </row>
    <row r="4" spans="1:5" ht="18.75" x14ac:dyDescent="0.25">
      <c r="A4" s="8" t="s">
        <v>265</v>
      </c>
    </row>
    <row r="8" spans="1:5" x14ac:dyDescent="0.25">
      <c r="A8" s="481" t="s">
        <v>29</v>
      </c>
      <c r="B8" s="483"/>
      <c r="C8" s="466" t="s">
        <v>259</v>
      </c>
      <c r="D8" s="487" t="s">
        <v>274</v>
      </c>
      <c r="E8" s="257"/>
    </row>
    <row r="9" spans="1:5" ht="30" x14ac:dyDescent="0.25">
      <c r="A9" s="223" t="s">
        <v>81</v>
      </c>
      <c r="B9" s="223" t="s">
        <v>109</v>
      </c>
      <c r="C9" s="467"/>
      <c r="D9" s="488"/>
    </row>
    <row r="10" spans="1:5" x14ac:dyDescent="0.25">
      <c r="A10" s="64" t="str">
        <f>IF(SYNTHESE!A167="","",SYNTHESE!A167)</f>
        <v/>
      </c>
      <c r="B10" s="64" t="str">
        <f>IF(A10="","",SYNTHESE!B167)</f>
        <v/>
      </c>
      <c r="C10" s="162" t="str">
        <f>IF(A10="","",SYNTHESE!C167*Barèmes!$D$123)</f>
        <v/>
      </c>
      <c r="D10" s="162" t="str">
        <f>IF(A10="","",C10)</f>
        <v/>
      </c>
      <c r="E10" s="269"/>
    </row>
    <row r="11" spans="1:5" x14ac:dyDescent="0.25">
      <c r="A11" s="64" t="str">
        <f>IF(SYNTHESE!A168="","",SYNTHESE!A168)</f>
        <v/>
      </c>
      <c r="B11" s="64" t="str">
        <f>IF(A11="","",SYNTHESE!B168)</f>
        <v/>
      </c>
      <c r="C11" s="162" t="str">
        <f>IF(A11="","",SYNTHESE!C168*Barèmes!$D$123)</f>
        <v/>
      </c>
      <c r="D11" s="162" t="str">
        <f t="shared" ref="D11:D15" si="0">IF(A11="","",C11)</f>
        <v/>
      </c>
      <c r="E11" s="269"/>
    </row>
    <row r="12" spans="1:5" x14ac:dyDescent="0.25">
      <c r="A12" s="64" t="str">
        <f>IF(SYNTHESE!A169="","",SYNTHESE!A169)</f>
        <v/>
      </c>
      <c r="B12" s="64" t="str">
        <f>IF(A12="","",SYNTHESE!B169)</f>
        <v/>
      </c>
      <c r="C12" s="162" t="str">
        <f>IF(A12="","",SYNTHESE!C169*Barèmes!$D$123)</f>
        <v/>
      </c>
      <c r="D12" s="162" t="str">
        <f t="shared" si="0"/>
        <v/>
      </c>
      <c r="E12" s="273"/>
    </row>
    <row r="13" spans="1:5" x14ac:dyDescent="0.25">
      <c r="A13" s="64" t="str">
        <f>IF(SYNTHESE!A170="","",SYNTHESE!A170)</f>
        <v/>
      </c>
      <c r="B13" s="64" t="str">
        <f>IF(A13="","",SYNTHESE!B170)</f>
        <v/>
      </c>
      <c r="C13" s="162" t="str">
        <f>IF(A13="","",SYNTHESE!C170*Barèmes!$D$123)</f>
        <v/>
      </c>
      <c r="D13" s="162" t="str">
        <f t="shared" si="0"/>
        <v/>
      </c>
    </row>
    <row r="14" spans="1:5" x14ac:dyDescent="0.25">
      <c r="A14" s="64" t="str">
        <f>IF(SYNTHESE!A171="","",SYNTHESE!A171)</f>
        <v/>
      </c>
      <c r="B14" s="64" t="str">
        <f>IF(A14="","",SYNTHESE!B171)</f>
        <v/>
      </c>
      <c r="C14" s="162" t="str">
        <f>IF(A14="","",SYNTHESE!C171*Barèmes!$D$123)</f>
        <v/>
      </c>
      <c r="D14" s="162" t="str">
        <f t="shared" si="0"/>
        <v/>
      </c>
    </row>
    <row r="15" spans="1:5" x14ac:dyDescent="0.25">
      <c r="A15" s="64" t="str">
        <f>IF(SYNTHESE!A172="","",SYNTHESE!A172)</f>
        <v/>
      </c>
      <c r="B15" s="64" t="str">
        <f>IF(A15="","",SYNTHESE!B172)</f>
        <v/>
      </c>
      <c r="C15" s="162" t="str">
        <f>IF(A15="","",SYNTHESE!C172*Barèmes!$D$123)</f>
        <v/>
      </c>
      <c r="D15" s="162" t="str">
        <f t="shared" si="0"/>
        <v/>
      </c>
    </row>
    <row r="16" spans="1:5" x14ac:dyDescent="0.25">
      <c r="D16" s="218">
        <f>SUM(D10:D15)</f>
        <v>0</v>
      </c>
    </row>
  </sheetData>
  <sheetProtection sheet="1" selectLockedCells="1" selectUnlockedCells="1"/>
  <mergeCells count="3">
    <mergeCell ref="A8:B8"/>
    <mergeCell ref="C8:C9"/>
    <mergeCell ref="D8:D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X172"/>
  <sheetViews>
    <sheetView showGridLines="0" topLeftCell="C19" zoomScale="70" zoomScaleNormal="70" workbookViewId="0">
      <selection activeCell="J19" sqref="J19"/>
    </sheetView>
  </sheetViews>
  <sheetFormatPr baseColWidth="10" defaultColWidth="10.85546875" defaultRowHeight="15" x14ac:dyDescent="0.25"/>
  <cols>
    <col min="1" max="1" width="24.85546875" style="26" customWidth="1"/>
    <col min="2" max="2" width="14.85546875" style="26" customWidth="1"/>
    <col min="3" max="3" width="16.42578125" style="26" customWidth="1"/>
    <col min="4" max="4" width="20.42578125" style="26" customWidth="1"/>
    <col min="5" max="5" width="20.140625" style="26" customWidth="1"/>
    <col min="6" max="8" width="18" style="26" customWidth="1"/>
    <col min="9" max="9" width="17" style="26" customWidth="1"/>
    <col min="10" max="10" width="12.85546875" style="26" customWidth="1"/>
    <col min="11" max="11" width="13.5703125" style="26" customWidth="1"/>
    <col min="12" max="12" width="18.5703125" style="26" customWidth="1"/>
    <col min="13" max="13" width="15.7109375" style="26" customWidth="1"/>
    <col min="14" max="14" width="18.85546875" style="26" customWidth="1"/>
    <col min="15" max="15" width="17.28515625" style="26" customWidth="1"/>
    <col min="16" max="16" width="19.85546875" style="26" customWidth="1"/>
    <col min="17" max="17" width="36" style="26" customWidth="1"/>
    <col min="18" max="18" width="31.85546875" style="26" customWidth="1"/>
    <col min="19" max="16384" width="10.85546875" style="26"/>
  </cols>
  <sheetData>
    <row r="2" spans="1:24" ht="32.25" x14ac:dyDescent="0.25">
      <c r="B2" s="169"/>
      <c r="D2" s="169"/>
      <c r="E2" s="410" t="s">
        <v>141</v>
      </c>
      <c r="F2" s="410"/>
      <c r="G2" s="410"/>
      <c r="H2" s="410"/>
      <c r="I2" s="410"/>
      <c r="J2" s="410"/>
      <c r="K2" s="410"/>
      <c r="L2" s="410"/>
    </row>
    <row r="3" spans="1:24" ht="19.5" x14ac:dyDescent="0.3">
      <c r="A3" s="41"/>
      <c r="B3" s="41"/>
      <c r="D3" s="41"/>
      <c r="E3" s="385" t="s">
        <v>142</v>
      </c>
      <c r="F3" s="385"/>
      <c r="G3" s="385"/>
      <c r="H3" s="385"/>
      <c r="I3" s="385"/>
      <c r="J3" s="385"/>
      <c r="K3" s="385"/>
      <c r="L3" s="385"/>
    </row>
    <row r="4" spans="1:24" ht="19.5" customHeight="1" x14ac:dyDescent="0.3">
      <c r="D4" s="41"/>
      <c r="E4" s="385" t="s">
        <v>143</v>
      </c>
      <c r="F4" s="385"/>
      <c r="G4" s="385"/>
      <c r="H4" s="385"/>
      <c r="I4" s="385"/>
      <c r="J4" s="385"/>
      <c r="K4" s="385"/>
      <c r="L4" s="385"/>
    </row>
    <row r="5" spans="1:24" ht="19.5" x14ac:dyDescent="0.3">
      <c r="D5" s="41"/>
      <c r="E5" s="385" t="s">
        <v>144</v>
      </c>
      <c r="F5" s="385"/>
      <c r="G5" s="385"/>
      <c r="H5" s="385"/>
      <c r="I5" s="385"/>
      <c r="J5" s="385"/>
      <c r="K5" s="385"/>
      <c r="L5" s="385"/>
    </row>
    <row r="6" spans="1:24" ht="19.5" x14ac:dyDescent="0.3">
      <c r="F6" s="41"/>
      <c r="G6" s="41"/>
      <c r="H6" s="41"/>
    </row>
    <row r="8" spans="1:24" x14ac:dyDescent="0.25">
      <c r="C8" s="175"/>
      <c r="D8" s="175"/>
      <c r="E8" s="175"/>
      <c r="F8" s="175"/>
      <c r="G8" s="175"/>
      <c r="H8" s="175"/>
      <c r="I8" s="175"/>
      <c r="J8" s="175"/>
      <c r="K8" s="175"/>
      <c r="L8" s="175"/>
      <c r="M8" s="175"/>
    </row>
    <row r="9" spans="1:24" ht="15.75" thickBot="1" x14ac:dyDescent="0.3"/>
    <row r="10" spans="1:24" s="27" customFormat="1" ht="27" thickBot="1" x14ac:dyDescent="0.3">
      <c r="A10" s="419" t="s">
        <v>303</v>
      </c>
      <c r="B10" s="419"/>
      <c r="C10" s="420"/>
      <c r="D10" s="411"/>
      <c r="E10" s="412"/>
      <c r="F10" s="412"/>
      <c r="G10" s="412"/>
      <c r="H10" s="413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</row>
    <row r="11" spans="1:24" s="27" customFormat="1" ht="9.9499999999999993" customHeight="1" thickBot="1" x14ac:dyDescent="0.3">
      <c r="A11" s="28"/>
      <c r="B11" s="28"/>
      <c r="C11" s="28"/>
      <c r="D11" s="11"/>
      <c r="E11" s="11"/>
      <c r="F11" s="11"/>
      <c r="G11" s="10"/>
      <c r="H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</row>
    <row r="12" spans="1:24" s="27" customFormat="1" ht="27" thickBot="1" x14ac:dyDescent="0.3">
      <c r="A12" s="419" t="s">
        <v>27</v>
      </c>
      <c r="B12" s="419"/>
      <c r="C12" s="420"/>
      <c r="D12" s="421"/>
      <c r="E12" s="422"/>
      <c r="F12" s="422"/>
      <c r="G12" s="422"/>
      <c r="H12" s="423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</row>
    <row r="13" spans="1:24" s="27" customFormat="1" ht="26.25" x14ac:dyDescent="0.25">
      <c r="A13" s="97"/>
      <c r="B13" s="97"/>
      <c r="C13" s="97"/>
      <c r="D13" s="97"/>
      <c r="E13" s="97"/>
      <c r="F13" s="97"/>
      <c r="G13" s="97"/>
      <c r="H13" s="97"/>
      <c r="I13" s="108"/>
      <c r="J13" s="108"/>
      <c r="K13" s="108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</row>
    <row r="14" spans="1:24" s="27" customFormat="1" ht="26.25" x14ac:dyDescent="0.25">
      <c r="A14" s="28"/>
      <c r="B14" s="28" t="str">
        <f>IF(SYNTHESE!B55="","","")</f>
        <v/>
      </c>
      <c r="C14" s="28"/>
      <c r="D14" s="28"/>
      <c r="E14" s="28"/>
      <c r="F14" s="28"/>
      <c r="G14" s="28"/>
      <c r="H14" s="28"/>
      <c r="I14" s="12"/>
      <c r="J14" s="12"/>
      <c r="K14" s="12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</row>
    <row r="15" spans="1:24" s="27" customFormat="1" ht="14.1" customHeight="1" thickBot="1" x14ac:dyDescent="0.3">
      <c r="A15" s="28"/>
      <c r="B15" s="28"/>
      <c r="C15" s="28"/>
      <c r="D15" s="12"/>
      <c r="E15" s="12"/>
      <c r="F15" s="12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</row>
    <row r="16" spans="1:24" s="27" customFormat="1" ht="32.25" thickBot="1" x14ac:dyDescent="0.3">
      <c r="A16" s="109" t="s">
        <v>33</v>
      </c>
      <c r="B16" s="28"/>
      <c r="C16" s="403" t="s">
        <v>37</v>
      </c>
      <c r="D16" s="404"/>
      <c r="E16" s="133" t="s">
        <v>155</v>
      </c>
      <c r="F16" s="12"/>
      <c r="G16" s="97"/>
      <c r="H16" s="426" t="s">
        <v>89</v>
      </c>
      <c r="I16" s="427"/>
      <c r="J16" s="131"/>
      <c r="K16" s="10"/>
      <c r="L16" s="10"/>
      <c r="M16" s="10"/>
      <c r="N16" s="10"/>
      <c r="O16" s="10"/>
      <c r="P16" s="10"/>
      <c r="Q16" s="10"/>
      <c r="R16" s="10"/>
      <c r="S16" s="10"/>
    </row>
    <row r="17" spans="1:19" s="27" customFormat="1" ht="17.100000000000001" customHeight="1" x14ac:dyDescent="0.25">
      <c r="B17" s="28"/>
      <c r="C17" s="424" t="s">
        <v>34</v>
      </c>
      <c r="D17" s="425"/>
      <c r="E17" s="132">
        <f>O45</f>
        <v>0</v>
      </c>
      <c r="F17" s="12"/>
      <c r="G17" s="10"/>
      <c r="H17" s="428" t="s">
        <v>307</v>
      </c>
      <c r="I17" s="429"/>
      <c r="J17" s="130">
        <f>SUM(C39:C44)</f>
        <v>0</v>
      </c>
      <c r="K17" s="10"/>
      <c r="L17" s="10"/>
      <c r="M17" s="10"/>
      <c r="N17" s="10"/>
      <c r="O17" s="10"/>
      <c r="P17" s="10"/>
      <c r="Q17" s="10"/>
      <c r="R17" s="10"/>
      <c r="S17" s="10"/>
    </row>
    <row r="18" spans="1:19" s="27" customFormat="1" ht="17.100000000000001" customHeight="1" x14ac:dyDescent="0.25">
      <c r="A18" s="28"/>
      <c r="B18" s="28"/>
      <c r="C18" s="401" t="s">
        <v>35</v>
      </c>
      <c r="D18" s="402"/>
      <c r="E18" s="125">
        <f>M60</f>
        <v>0</v>
      </c>
      <c r="F18" s="12"/>
      <c r="G18" s="10"/>
      <c r="H18" s="430" t="s">
        <v>306</v>
      </c>
      <c r="I18" s="431"/>
      <c r="J18" s="102">
        <f>SUM(D55:D59)</f>
        <v>0</v>
      </c>
      <c r="K18" s="10"/>
      <c r="L18" s="10"/>
      <c r="M18" s="10"/>
      <c r="N18" s="10"/>
      <c r="O18" s="10"/>
      <c r="P18" s="10"/>
      <c r="Q18" s="10"/>
      <c r="R18" s="10"/>
      <c r="S18" s="10"/>
    </row>
    <row r="19" spans="1:19" s="27" customFormat="1" ht="17.100000000000001" customHeight="1" x14ac:dyDescent="0.25">
      <c r="A19" s="28"/>
      <c r="B19" s="28"/>
      <c r="C19" s="299" t="s">
        <v>36</v>
      </c>
      <c r="D19" s="300"/>
      <c r="E19" s="125">
        <f>F76</f>
        <v>0</v>
      </c>
      <c r="F19" s="12"/>
      <c r="G19" s="10"/>
      <c r="H19" s="430" t="s">
        <v>252</v>
      </c>
      <c r="I19" s="431"/>
      <c r="J19" s="102">
        <f>SUM('calcul BOS'!C12:C16)</f>
        <v>0</v>
      </c>
      <c r="K19" s="10"/>
      <c r="L19" s="10"/>
      <c r="M19" s="10"/>
      <c r="N19" s="10"/>
      <c r="O19" s="10"/>
      <c r="P19" s="10"/>
      <c r="Q19" s="10"/>
      <c r="R19" s="10"/>
      <c r="S19" s="10"/>
    </row>
    <row r="20" spans="1:19" s="27" customFormat="1" ht="17.100000000000001" customHeight="1" x14ac:dyDescent="0.25">
      <c r="A20" s="28"/>
      <c r="B20" s="28"/>
      <c r="C20" s="299" t="s">
        <v>96</v>
      </c>
      <c r="D20" s="300"/>
      <c r="E20" s="125">
        <f>M92</f>
        <v>0</v>
      </c>
      <c r="F20" s="12"/>
      <c r="G20" s="10"/>
      <c r="H20" s="430" t="s">
        <v>180</v>
      </c>
      <c r="I20" s="431"/>
      <c r="J20" s="102">
        <f>SUM(D86:D90)</f>
        <v>0</v>
      </c>
      <c r="K20" s="10"/>
      <c r="L20" s="10"/>
      <c r="M20" s="10"/>
      <c r="N20" s="10"/>
      <c r="O20" s="10"/>
      <c r="P20" s="10"/>
      <c r="Q20" s="10"/>
      <c r="R20" s="10"/>
      <c r="S20" s="10"/>
    </row>
    <row r="21" spans="1:19" s="27" customFormat="1" ht="17.100000000000001" customHeight="1" x14ac:dyDescent="0.25">
      <c r="A21" s="28"/>
      <c r="B21" s="28"/>
      <c r="C21" s="299" t="s">
        <v>108</v>
      </c>
      <c r="D21" s="300"/>
      <c r="E21" s="125">
        <f>E105</f>
        <v>0</v>
      </c>
      <c r="F21" s="12"/>
      <c r="G21" s="10"/>
      <c r="H21" s="430" t="s">
        <v>183</v>
      </c>
      <c r="I21" s="431"/>
      <c r="J21" s="102">
        <f>SUM('calcul BEM'!D14:D19)</f>
        <v>0</v>
      </c>
      <c r="K21" s="10"/>
      <c r="L21" s="10"/>
      <c r="M21" s="10"/>
      <c r="N21" s="10"/>
      <c r="O21" s="10"/>
      <c r="P21" s="10"/>
      <c r="Q21" s="10"/>
      <c r="R21" s="10"/>
      <c r="S21" s="10"/>
    </row>
    <row r="22" spans="1:19" s="27" customFormat="1" ht="17.100000000000001" customHeight="1" x14ac:dyDescent="0.25">
      <c r="A22" s="28"/>
      <c r="B22" s="28"/>
      <c r="C22" s="127" t="s">
        <v>159</v>
      </c>
      <c r="D22" s="128"/>
      <c r="E22" s="129">
        <f>'calcul fascines'!D17</f>
        <v>0</v>
      </c>
      <c r="F22" s="12"/>
      <c r="G22" s="10"/>
      <c r="H22" s="430" t="s">
        <v>305</v>
      </c>
      <c r="I22" s="431"/>
      <c r="J22" s="102">
        <f>SUM(C114:C118)</f>
        <v>0</v>
      </c>
      <c r="K22" s="10"/>
      <c r="L22" s="10"/>
      <c r="M22" s="10"/>
      <c r="N22" s="10"/>
      <c r="O22" s="10"/>
      <c r="P22" s="10"/>
      <c r="Q22" s="10"/>
      <c r="R22" s="10"/>
      <c r="S22" s="10"/>
    </row>
    <row r="23" spans="1:19" s="27" customFormat="1" ht="17.100000000000001" customHeight="1" x14ac:dyDescent="0.25">
      <c r="A23" s="28"/>
      <c r="B23" s="28"/>
      <c r="C23" s="127" t="s">
        <v>160</v>
      </c>
      <c r="D23" s="128"/>
      <c r="E23" s="129">
        <f>D132</f>
        <v>0</v>
      </c>
      <c r="F23" s="12"/>
      <c r="G23" s="10"/>
      <c r="H23" s="430" t="s">
        <v>188</v>
      </c>
      <c r="I23" s="431"/>
      <c r="J23" s="102">
        <f>C127+C128+C129+C130+C131</f>
        <v>0</v>
      </c>
      <c r="K23" s="10"/>
      <c r="L23" s="10"/>
      <c r="M23" s="10"/>
      <c r="N23" s="10"/>
      <c r="O23" s="10"/>
      <c r="P23" s="10"/>
      <c r="Q23" s="10"/>
      <c r="R23" s="10"/>
      <c r="S23" s="10"/>
    </row>
    <row r="24" spans="1:19" s="27" customFormat="1" ht="17.100000000000001" customHeight="1" x14ac:dyDescent="0.25">
      <c r="A24" s="28"/>
      <c r="B24" s="28"/>
      <c r="C24" s="127" t="s">
        <v>161</v>
      </c>
      <c r="D24" s="128"/>
      <c r="E24" s="129">
        <f>D145</f>
        <v>0</v>
      </c>
      <c r="F24" s="12"/>
      <c r="G24" s="10"/>
      <c r="H24" s="430" t="s">
        <v>189</v>
      </c>
      <c r="I24" s="431"/>
      <c r="J24" s="102">
        <f>C140+C141+C142+C143+C144</f>
        <v>0</v>
      </c>
      <c r="K24" s="10"/>
      <c r="L24" s="10"/>
      <c r="M24" s="10"/>
      <c r="N24" s="10"/>
      <c r="O24" s="10"/>
      <c r="P24" s="10"/>
      <c r="Q24" s="10"/>
      <c r="R24" s="10"/>
      <c r="S24" s="10"/>
    </row>
    <row r="25" spans="1:19" s="27" customFormat="1" ht="17.100000000000001" customHeight="1" x14ac:dyDescent="0.25">
      <c r="A25" s="28"/>
      <c r="B25" s="28"/>
      <c r="C25" s="127" t="s">
        <v>163</v>
      </c>
      <c r="D25" s="128"/>
      <c r="E25" s="129">
        <f>D159</f>
        <v>0</v>
      </c>
      <c r="F25" s="12"/>
      <c r="G25" s="10"/>
      <c r="H25" s="430" t="s">
        <v>284</v>
      </c>
      <c r="I25" s="431"/>
      <c r="J25" s="102">
        <f>SUM(C154:C158)</f>
        <v>0</v>
      </c>
      <c r="K25" s="10"/>
      <c r="L25" s="10"/>
      <c r="M25" s="10"/>
      <c r="N25" s="10"/>
      <c r="O25" s="10"/>
      <c r="P25" s="10"/>
      <c r="Q25" s="10"/>
      <c r="R25" s="10"/>
      <c r="S25" s="10"/>
    </row>
    <row r="26" spans="1:19" s="27" customFormat="1" ht="17.100000000000001" customHeight="1" thickBot="1" x14ac:dyDescent="0.3">
      <c r="A26" s="28"/>
      <c r="B26" s="28"/>
      <c r="C26" s="127" t="s">
        <v>162</v>
      </c>
      <c r="D26" s="128"/>
      <c r="E26" s="129">
        <f>D172</f>
        <v>0</v>
      </c>
      <c r="F26" s="12"/>
      <c r="G26" s="10"/>
      <c r="H26" s="442" t="s">
        <v>308</v>
      </c>
      <c r="I26" s="443"/>
      <c r="J26" s="103">
        <f>SUM(C167:C171)</f>
        <v>0</v>
      </c>
      <c r="K26" s="10"/>
      <c r="L26" s="10"/>
      <c r="M26" s="10"/>
      <c r="N26" s="10"/>
      <c r="O26" s="10"/>
      <c r="P26" s="10"/>
      <c r="Q26" s="10"/>
      <c r="R26" s="10"/>
      <c r="S26" s="10"/>
    </row>
    <row r="27" spans="1:19" s="27" customFormat="1" ht="27.75" customHeight="1" thickBot="1" x14ac:dyDescent="0.3">
      <c r="A27" s="28"/>
      <c r="B27" s="28"/>
      <c r="C27" s="399" t="s">
        <v>38</v>
      </c>
      <c r="D27" s="400"/>
      <c r="E27" s="284">
        <f>SUM(E17:E26)</f>
        <v>0</v>
      </c>
      <c r="F27" s="12"/>
      <c r="G27" s="10"/>
      <c r="K27" s="10"/>
      <c r="L27" s="10"/>
      <c r="M27" s="10"/>
      <c r="N27" s="10"/>
      <c r="O27" s="10"/>
      <c r="P27" s="10"/>
      <c r="Q27" s="10"/>
      <c r="R27" s="10"/>
      <c r="S27" s="10"/>
    </row>
    <row r="28" spans="1:19" s="27" customFormat="1" ht="17.100000000000001" customHeight="1" x14ac:dyDescent="0.25">
      <c r="A28" s="28"/>
      <c r="B28" s="28"/>
      <c r="F28" s="12"/>
      <c r="G28" s="10"/>
      <c r="H28" s="111"/>
      <c r="I28" s="111"/>
      <c r="J28" s="101"/>
      <c r="K28" s="10"/>
      <c r="L28" s="10"/>
      <c r="M28" s="10"/>
      <c r="N28" s="10"/>
      <c r="O28" s="10"/>
      <c r="P28" s="10"/>
      <c r="Q28" s="10"/>
      <c r="R28" s="10"/>
      <c r="S28" s="10"/>
    </row>
    <row r="29" spans="1:19" s="27" customFormat="1" ht="23.45" customHeight="1" x14ac:dyDescent="0.25">
      <c r="A29" s="28"/>
      <c r="B29" s="28"/>
      <c r="F29" s="12"/>
      <c r="G29" s="10"/>
      <c r="H29" s="418"/>
      <c r="I29" s="418"/>
      <c r="J29" s="10"/>
      <c r="K29" s="10"/>
      <c r="L29" s="10"/>
      <c r="M29" s="10"/>
      <c r="N29" s="10"/>
      <c r="O29" s="10"/>
      <c r="P29" s="10"/>
      <c r="Q29" s="10"/>
      <c r="R29" s="10"/>
      <c r="S29" s="10"/>
    </row>
    <row r="30" spans="1:19" s="27" customFormat="1" ht="14.1" customHeight="1" x14ac:dyDescent="0.25">
      <c r="A30" s="28"/>
      <c r="B30" s="28"/>
      <c r="C30" s="28"/>
      <c r="D30" s="12"/>
      <c r="E30" s="12"/>
      <c r="F30" s="12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</row>
    <row r="31" spans="1:19" s="27" customFormat="1" ht="14.1" customHeight="1" x14ac:dyDescent="0.25">
      <c r="A31" s="28"/>
      <c r="B31" s="28"/>
      <c r="C31" s="28"/>
      <c r="D31" s="12"/>
      <c r="E31" s="12"/>
      <c r="F31" s="12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</row>
    <row r="32" spans="1:19" s="27" customFormat="1" ht="14.1" customHeight="1" x14ac:dyDescent="0.25">
      <c r="A32" s="28"/>
      <c r="B32" s="28"/>
      <c r="C32" s="28"/>
      <c r="D32" s="12"/>
      <c r="E32" s="12"/>
      <c r="F32" s="12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</row>
    <row r="33" spans="1:21" s="27" customFormat="1" ht="14.1" customHeight="1" thickBot="1" x14ac:dyDescent="0.3">
      <c r="A33" s="28"/>
      <c r="B33" s="28"/>
      <c r="C33" s="28"/>
      <c r="D33" s="12"/>
      <c r="E33" s="12"/>
      <c r="F33" s="12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</row>
    <row r="34" spans="1:21" ht="28.5" customHeight="1" x14ac:dyDescent="0.25">
      <c r="A34" s="126" t="s">
        <v>18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10"/>
      <c r="Q34" s="10"/>
      <c r="R34" s="453" t="s">
        <v>300</v>
      </c>
      <c r="S34" s="10"/>
      <c r="T34" s="10"/>
    </row>
    <row r="35" spans="1:21" x14ac:dyDescent="0.25">
      <c r="R35" s="454"/>
    </row>
    <row r="36" spans="1:21" ht="8.4499999999999993" customHeight="1" thickBot="1" x14ac:dyDescent="0.3">
      <c r="R36" s="455"/>
    </row>
    <row r="37" spans="1:21" s="29" customFormat="1" ht="48.6" customHeight="1" x14ac:dyDescent="0.25">
      <c r="A37" s="392" t="s">
        <v>29</v>
      </c>
      <c r="B37" s="393"/>
      <c r="C37" s="394" t="s">
        <v>30</v>
      </c>
      <c r="D37" s="395"/>
      <c r="E37" s="395"/>
      <c r="F37" s="393"/>
      <c r="G37" s="416" t="s">
        <v>208</v>
      </c>
      <c r="H37" s="417"/>
      <c r="I37" s="416" t="s">
        <v>70</v>
      </c>
      <c r="J37" s="444"/>
      <c r="K37" s="444"/>
      <c r="L37" s="444"/>
      <c r="M37" s="444"/>
      <c r="N37" s="445"/>
      <c r="O37" s="432" t="s">
        <v>26</v>
      </c>
      <c r="P37" s="433"/>
      <c r="R37" s="446" t="s">
        <v>302</v>
      </c>
    </row>
    <row r="38" spans="1:21" ht="44.45" customHeight="1" thickBot="1" x14ac:dyDescent="0.3">
      <c r="A38" s="296" t="s">
        <v>20</v>
      </c>
      <c r="B38" s="190" t="s">
        <v>21</v>
      </c>
      <c r="C38" s="190" t="s">
        <v>32</v>
      </c>
      <c r="D38" s="190" t="s">
        <v>19</v>
      </c>
      <c r="E38" s="190" t="s">
        <v>301</v>
      </c>
      <c r="F38" s="190" t="s">
        <v>168</v>
      </c>
      <c r="G38" s="190" t="s">
        <v>22</v>
      </c>
      <c r="H38" s="190" t="s">
        <v>1</v>
      </c>
      <c r="I38" s="190" t="s">
        <v>23</v>
      </c>
      <c r="J38" s="190" t="s">
        <v>24</v>
      </c>
      <c r="K38" s="190" t="s">
        <v>172</v>
      </c>
      <c r="L38" s="190" t="s">
        <v>218</v>
      </c>
      <c r="M38" s="190" t="s">
        <v>211</v>
      </c>
      <c r="N38" s="190" t="s">
        <v>212</v>
      </c>
      <c r="O38" s="440"/>
      <c r="P38" s="441"/>
      <c r="R38" s="447"/>
    </row>
    <row r="39" spans="1:21" ht="22.5" customHeight="1" x14ac:dyDescent="0.25">
      <c r="A39" s="44"/>
      <c r="B39" s="136"/>
      <c r="C39" s="136"/>
      <c r="D39" s="136"/>
      <c r="E39" s="136"/>
      <c r="F39" s="136"/>
      <c r="G39" s="45"/>
      <c r="H39" s="45"/>
      <c r="I39" s="136"/>
      <c r="J39" s="136"/>
      <c r="K39" s="136"/>
      <c r="L39" s="136"/>
      <c r="M39" s="45"/>
      <c r="N39" s="45"/>
      <c r="O39" s="436" t="str">
        <f>IF(B39="","",'calcul haies'!R21)</f>
        <v/>
      </c>
      <c r="P39" s="437"/>
      <c r="R39" s="303"/>
    </row>
    <row r="40" spans="1:21" ht="22.5" customHeight="1" x14ac:dyDescent="0.25">
      <c r="A40" s="44"/>
      <c r="B40" s="136"/>
      <c r="C40" s="136"/>
      <c r="D40" s="136"/>
      <c r="E40" s="136"/>
      <c r="F40" s="136"/>
      <c r="G40" s="45"/>
      <c r="H40" s="45"/>
      <c r="I40" s="136"/>
      <c r="J40" s="136"/>
      <c r="K40" s="136"/>
      <c r="L40" s="136"/>
      <c r="M40" s="45"/>
      <c r="N40" s="45"/>
      <c r="O40" s="438" t="str">
        <f>IF(B40="","",'calcul haies'!R22)</f>
        <v/>
      </c>
      <c r="P40" s="439"/>
      <c r="R40" s="303"/>
    </row>
    <row r="41" spans="1:21" ht="22.5" customHeight="1" x14ac:dyDescent="0.25">
      <c r="A41" s="44"/>
      <c r="B41" s="136"/>
      <c r="C41" s="136"/>
      <c r="D41" s="136"/>
      <c r="E41" s="136"/>
      <c r="F41" s="136"/>
      <c r="G41" s="45"/>
      <c r="H41" s="45"/>
      <c r="I41" s="136"/>
      <c r="J41" s="136"/>
      <c r="K41" s="136"/>
      <c r="L41" s="136"/>
      <c r="M41" s="45"/>
      <c r="N41" s="45"/>
      <c r="O41" s="438" t="str">
        <f>IF(B41="","",'calcul haies'!R23)</f>
        <v/>
      </c>
      <c r="P41" s="439"/>
      <c r="R41" s="303"/>
    </row>
    <row r="42" spans="1:21" ht="22.5" customHeight="1" x14ac:dyDescent="0.25">
      <c r="A42" s="44"/>
      <c r="B42" s="136"/>
      <c r="C42" s="136"/>
      <c r="D42" s="136"/>
      <c r="E42" s="136"/>
      <c r="F42" s="136"/>
      <c r="G42" s="45"/>
      <c r="H42" s="45"/>
      <c r="I42" s="136"/>
      <c r="J42" s="136"/>
      <c r="K42" s="136"/>
      <c r="L42" s="136"/>
      <c r="M42" s="45"/>
      <c r="N42" s="45"/>
      <c r="O42" s="438" t="str">
        <f>IF(B42="","",'calcul haies'!R24)</f>
        <v/>
      </c>
      <c r="P42" s="439"/>
      <c r="R42" s="303"/>
    </row>
    <row r="43" spans="1:21" ht="22.5" customHeight="1" x14ac:dyDescent="0.25">
      <c r="A43" s="44"/>
      <c r="B43" s="136"/>
      <c r="C43" s="136"/>
      <c r="D43" s="136"/>
      <c r="E43" s="136"/>
      <c r="F43" s="136"/>
      <c r="G43" s="45"/>
      <c r="H43" s="45"/>
      <c r="I43" s="136"/>
      <c r="J43" s="136"/>
      <c r="K43" s="136"/>
      <c r="L43" s="136"/>
      <c r="M43" s="45"/>
      <c r="N43" s="45"/>
      <c r="O43" s="438" t="str">
        <f>IF(B43="","",'calcul haies'!R25)</f>
        <v/>
      </c>
      <c r="P43" s="439"/>
      <c r="Q43" s="297"/>
      <c r="R43" s="303"/>
      <c r="S43" s="302"/>
      <c r="T43" s="302"/>
      <c r="U43" s="302"/>
    </row>
    <row r="44" spans="1:21" ht="22.5" customHeight="1" thickBot="1" x14ac:dyDescent="0.3">
      <c r="A44" s="44"/>
      <c r="B44" s="136"/>
      <c r="C44" s="136"/>
      <c r="D44" s="136"/>
      <c r="E44" s="136"/>
      <c r="F44" s="136"/>
      <c r="G44" s="45"/>
      <c r="H44" s="45"/>
      <c r="I44" s="136"/>
      <c r="J44" s="136"/>
      <c r="K44" s="136"/>
      <c r="L44" s="136"/>
      <c r="M44" s="45"/>
      <c r="N44" s="45"/>
      <c r="O44" s="456" t="str">
        <f>IF(B44="","",'calcul haies'!R26)</f>
        <v/>
      </c>
      <c r="P44" s="457"/>
      <c r="R44" s="305"/>
    </row>
    <row r="45" spans="1:21" ht="19.5" customHeight="1" thickBot="1" x14ac:dyDescent="0.3">
      <c r="A45" s="204" t="s">
        <v>38</v>
      </c>
      <c r="B45" s="205"/>
      <c r="C45" s="205"/>
      <c r="D45" s="205"/>
      <c r="E45" s="205"/>
      <c r="F45" s="205"/>
      <c r="G45" s="205"/>
      <c r="H45" s="205"/>
      <c r="I45" s="205"/>
      <c r="J45" s="205"/>
      <c r="K45" s="205"/>
      <c r="L45" s="205"/>
      <c r="M45" s="205"/>
      <c r="N45" s="206"/>
      <c r="O45" s="458">
        <f>SUM(O39:O44)</f>
        <v>0</v>
      </c>
      <c r="P45" s="459"/>
      <c r="R45" s="306"/>
    </row>
    <row r="50" spans="1:15" ht="28.5" customHeight="1" x14ac:dyDescent="0.25">
      <c r="A50" s="126" t="s">
        <v>28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</row>
    <row r="52" spans="1:15" ht="15.75" thickBot="1" x14ac:dyDescent="0.3"/>
    <row r="53" spans="1:15" ht="45.6" customHeight="1" x14ac:dyDescent="0.25">
      <c r="A53" s="392" t="s">
        <v>29</v>
      </c>
      <c r="B53" s="393"/>
      <c r="C53" s="394" t="s">
        <v>30</v>
      </c>
      <c r="D53" s="395"/>
      <c r="E53" s="396"/>
      <c r="F53" s="448" t="s">
        <v>228</v>
      </c>
      <c r="G53" s="444"/>
      <c r="H53" s="444"/>
      <c r="I53" s="445"/>
      <c r="J53" s="414" t="s">
        <v>74</v>
      </c>
      <c r="K53" s="460" t="s">
        <v>83</v>
      </c>
      <c r="L53" s="460" t="s">
        <v>234</v>
      </c>
      <c r="M53" s="462" t="s">
        <v>26</v>
      </c>
      <c r="O53" s="446" t="s">
        <v>291</v>
      </c>
    </row>
    <row r="54" spans="1:15" ht="51" customHeight="1" thickBot="1" x14ac:dyDescent="0.3">
      <c r="A54" s="296" t="s">
        <v>20</v>
      </c>
      <c r="B54" s="190" t="s">
        <v>31</v>
      </c>
      <c r="C54" s="190" t="s">
        <v>32</v>
      </c>
      <c r="D54" s="190" t="s">
        <v>87</v>
      </c>
      <c r="E54" s="191" t="s">
        <v>223</v>
      </c>
      <c r="F54" s="296" t="s">
        <v>229</v>
      </c>
      <c r="G54" s="83" t="s">
        <v>230</v>
      </c>
      <c r="H54" s="213" t="s">
        <v>231</v>
      </c>
      <c r="I54" s="191" t="s">
        <v>232</v>
      </c>
      <c r="J54" s="415"/>
      <c r="K54" s="461"/>
      <c r="L54" s="461"/>
      <c r="M54" s="463"/>
      <c r="O54" s="447"/>
    </row>
    <row r="55" spans="1:15" ht="22.5" customHeight="1" x14ac:dyDescent="0.25">
      <c r="A55" s="42"/>
      <c r="B55" s="61"/>
      <c r="C55" s="61"/>
      <c r="D55" s="61"/>
      <c r="E55" s="61"/>
      <c r="F55" s="152"/>
      <c r="G55" s="152"/>
      <c r="H55" s="152"/>
      <c r="I55" s="152"/>
      <c r="J55" s="61"/>
      <c r="K55" s="189"/>
      <c r="L55" s="86"/>
      <c r="M55" s="104" t="str">
        <f>IF(B55="","",'calcul AIP'!Q20)</f>
        <v/>
      </c>
      <c r="O55" s="303"/>
    </row>
    <row r="56" spans="1:15" ht="22.5" customHeight="1" x14ac:dyDescent="0.25">
      <c r="A56" s="110"/>
      <c r="B56" s="60"/>
      <c r="C56" s="60"/>
      <c r="D56" s="60"/>
      <c r="E56" s="60"/>
      <c r="F56" s="147"/>
      <c r="G56" s="147"/>
      <c r="H56" s="147"/>
      <c r="I56" s="147"/>
      <c r="J56" s="60"/>
      <c r="K56" s="187"/>
      <c r="L56" s="86"/>
      <c r="M56" s="105" t="str">
        <f>IF(B56="","",'calcul AIP'!Q21)</f>
        <v/>
      </c>
      <c r="O56" s="303"/>
    </row>
    <row r="57" spans="1:15" ht="22.5" customHeight="1" x14ac:dyDescent="0.25">
      <c r="A57" s="110"/>
      <c r="B57" s="60"/>
      <c r="C57" s="60"/>
      <c r="D57" s="60"/>
      <c r="E57" s="60"/>
      <c r="F57" s="147"/>
      <c r="G57" s="147"/>
      <c r="H57" s="147"/>
      <c r="I57" s="147"/>
      <c r="J57" s="60"/>
      <c r="K57" s="187"/>
      <c r="L57" s="87"/>
      <c r="M57" s="105" t="str">
        <f>IF(B57="","",'calcul AIP'!Q22)</f>
        <v/>
      </c>
      <c r="O57" s="303"/>
    </row>
    <row r="58" spans="1:15" ht="22.5" customHeight="1" x14ac:dyDescent="0.25">
      <c r="A58" s="110"/>
      <c r="B58" s="60"/>
      <c r="C58" s="60"/>
      <c r="D58" s="60"/>
      <c r="E58" s="60"/>
      <c r="F58" s="147"/>
      <c r="G58" s="147"/>
      <c r="H58" s="147"/>
      <c r="I58" s="147"/>
      <c r="J58" s="60"/>
      <c r="K58" s="187"/>
      <c r="L58" s="87"/>
      <c r="M58" s="105" t="str">
        <f>IF(B58="","",'calcul AIP'!Q23)</f>
        <v/>
      </c>
      <c r="O58" s="303"/>
    </row>
    <row r="59" spans="1:15" ht="22.5" customHeight="1" thickBot="1" x14ac:dyDescent="0.3">
      <c r="A59" s="89"/>
      <c r="B59" s="89"/>
      <c r="C59" s="89"/>
      <c r="D59" s="89"/>
      <c r="E59" s="89"/>
      <c r="F59" s="214"/>
      <c r="G59" s="214"/>
      <c r="H59" s="214"/>
      <c r="I59" s="214"/>
      <c r="J59" s="89"/>
      <c r="K59" s="188"/>
      <c r="L59" s="91"/>
      <c r="M59" s="106" t="str">
        <f>IF(B59="","",'calcul AIP'!Q24)</f>
        <v/>
      </c>
      <c r="O59" s="305"/>
    </row>
    <row r="60" spans="1:15" ht="20.45" customHeight="1" thickBot="1" x14ac:dyDescent="0.3">
      <c r="A60" s="207" t="s">
        <v>38</v>
      </c>
      <c r="B60" s="208"/>
      <c r="C60" s="208"/>
      <c r="D60" s="208"/>
      <c r="E60" s="208"/>
      <c r="F60" s="208"/>
      <c r="G60" s="209"/>
      <c r="H60" s="211"/>
      <c r="I60" s="212"/>
      <c r="J60" s="210"/>
      <c r="K60" s="208"/>
      <c r="L60" s="209"/>
      <c r="M60" s="107">
        <f>SUM(M55:M59)</f>
        <v>0</v>
      </c>
      <c r="O60" s="306"/>
    </row>
    <row r="65" spans="1:14" ht="33" customHeight="1" x14ac:dyDescent="0.25">
      <c r="A65" s="126" t="s">
        <v>94</v>
      </c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</row>
    <row r="66" spans="1:14" x14ac:dyDescent="0.25">
      <c r="A66" s="13"/>
    </row>
    <row r="68" spans="1:14" ht="15.75" thickBot="1" x14ac:dyDescent="0.3">
      <c r="I68" s="71"/>
      <c r="J68" s="71"/>
    </row>
    <row r="69" spans="1:14" ht="79.5" customHeight="1" x14ac:dyDescent="0.25">
      <c r="A69" s="392" t="s">
        <v>29</v>
      </c>
      <c r="B69" s="393"/>
      <c r="C69" s="234" t="s">
        <v>30</v>
      </c>
      <c r="D69" s="416" t="s">
        <v>208</v>
      </c>
      <c r="E69" s="444"/>
      <c r="F69" s="432" t="s">
        <v>26</v>
      </c>
      <c r="G69" s="433"/>
      <c r="H69" s="71"/>
      <c r="I69" s="446" t="s">
        <v>292</v>
      </c>
    </row>
    <row r="70" spans="1:14" ht="45.75" thickBot="1" x14ac:dyDescent="0.3">
      <c r="A70" s="296" t="s">
        <v>20</v>
      </c>
      <c r="B70" s="190" t="s">
        <v>31</v>
      </c>
      <c r="C70" s="190" t="s">
        <v>255</v>
      </c>
      <c r="D70" s="190" t="s">
        <v>85</v>
      </c>
      <c r="E70" s="191" t="s">
        <v>86</v>
      </c>
      <c r="F70" s="434"/>
      <c r="G70" s="435"/>
      <c r="H70" s="81"/>
      <c r="I70" s="447"/>
    </row>
    <row r="71" spans="1:14" ht="27.6" customHeight="1" x14ac:dyDescent="0.25">
      <c r="A71" s="42"/>
      <c r="B71" s="61"/>
      <c r="C71" s="61"/>
      <c r="D71" s="43"/>
      <c r="E71" s="86"/>
      <c r="F71" s="397" t="str">
        <f>IF(A71="","",'calcul BOS'!K22)</f>
        <v/>
      </c>
      <c r="G71" s="398"/>
      <c r="I71" s="303"/>
    </row>
    <row r="72" spans="1:14" ht="27.6" customHeight="1" x14ac:dyDescent="0.25">
      <c r="A72" s="110"/>
      <c r="B72" s="60"/>
      <c r="C72" s="60"/>
      <c r="D72" s="30"/>
      <c r="E72" s="87"/>
      <c r="F72" s="397" t="str">
        <f>IF(A72="","",'calcul BOS'!K23)</f>
        <v/>
      </c>
      <c r="G72" s="398"/>
      <c r="I72" s="303"/>
    </row>
    <row r="73" spans="1:14" ht="27.6" customHeight="1" x14ac:dyDescent="0.25">
      <c r="A73" s="110"/>
      <c r="B73" s="60"/>
      <c r="C73" s="60"/>
      <c r="D73" s="30"/>
      <c r="E73" s="87"/>
      <c r="F73" s="397" t="str">
        <f>IF(A73="","",'calcul BOS'!K24)</f>
        <v/>
      </c>
      <c r="G73" s="398"/>
      <c r="I73" s="303"/>
    </row>
    <row r="74" spans="1:14" ht="27.6" customHeight="1" x14ac:dyDescent="0.25">
      <c r="A74" s="110"/>
      <c r="B74" s="60"/>
      <c r="C74" s="60"/>
      <c r="D74" s="30"/>
      <c r="E74" s="87"/>
      <c r="F74" s="397" t="str">
        <f>IF(A74="","",'calcul BOS'!K25)</f>
        <v/>
      </c>
      <c r="G74" s="398"/>
      <c r="I74" s="303"/>
    </row>
    <row r="75" spans="1:14" ht="27.6" customHeight="1" thickBot="1" x14ac:dyDescent="0.3">
      <c r="A75" s="88"/>
      <c r="B75" s="89"/>
      <c r="C75" s="89"/>
      <c r="D75" s="90"/>
      <c r="E75" s="91"/>
      <c r="F75" s="397" t="str">
        <f>IF(A75="","",'calcul BOS'!K26)</f>
        <v/>
      </c>
      <c r="G75" s="398"/>
      <c r="I75" s="305"/>
    </row>
    <row r="76" spans="1:14" ht="24.6" customHeight="1" thickBot="1" x14ac:dyDescent="0.3">
      <c r="A76" s="449" t="s">
        <v>38</v>
      </c>
      <c r="B76" s="450"/>
      <c r="C76" s="450"/>
      <c r="D76" s="450"/>
      <c r="E76" s="450"/>
      <c r="F76" s="451">
        <f>SUM(F71:F75)</f>
        <v>0</v>
      </c>
      <c r="G76" s="452"/>
      <c r="I76" s="306"/>
    </row>
    <row r="80" spans="1:14" ht="29.1" customHeight="1" x14ac:dyDescent="0.25">
      <c r="A80" s="126" t="s">
        <v>98</v>
      </c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</row>
    <row r="81" spans="1:21" x14ac:dyDescent="0.25">
      <c r="A81" s="13"/>
    </row>
    <row r="83" spans="1:21" ht="15.75" thickBot="1" x14ac:dyDescent="0.3">
      <c r="J83" s="78"/>
    </row>
    <row r="84" spans="1:21" ht="37.5" customHeight="1" x14ac:dyDescent="0.25">
      <c r="A84" s="392" t="s">
        <v>29</v>
      </c>
      <c r="B84" s="396"/>
      <c r="C84" s="392" t="s">
        <v>30</v>
      </c>
      <c r="D84" s="395"/>
      <c r="E84" s="395"/>
      <c r="F84" s="396"/>
      <c r="G84" s="448" t="s">
        <v>208</v>
      </c>
      <c r="H84" s="445"/>
      <c r="I84" s="448" t="s">
        <v>39</v>
      </c>
      <c r="J84" s="444"/>
      <c r="K84" s="444"/>
      <c r="L84" s="445"/>
      <c r="M84" s="432" t="s">
        <v>26</v>
      </c>
      <c r="N84" s="433"/>
      <c r="P84" s="446" t="s">
        <v>293</v>
      </c>
    </row>
    <row r="85" spans="1:21" ht="50.45" customHeight="1" thickBot="1" x14ac:dyDescent="0.3">
      <c r="A85" s="296" t="s">
        <v>20</v>
      </c>
      <c r="B85" s="83" t="s">
        <v>133</v>
      </c>
      <c r="C85" s="296" t="s">
        <v>111</v>
      </c>
      <c r="D85" s="190" t="s">
        <v>32</v>
      </c>
      <c r="E85" s="190" t="s">
        <v>168</v>
      </c>
      <c r="F85" s="83" t="s">
        <v>178</v>
      </c>
      <c r="G85" s="296" t="s">
        <v>85</v>
      </c>
      <c r="H85" s="191" t="s">
        <v>86</v>
      </c>
      <c r="I85" s="243" t="s">
        <v>169</v>
      </c>
      <c r="J85" s="301" t="s">
        <v>23</v>
      </c>
      <c r="K85" s="301" t="s">
        <v>172</v>
      </c>
      <c r="L85" s="248" t="s">
        <v>118</v>
      </c>
      <c r="M85" s="440"/>
      <c r="N85" s="441"/>
      <c r="P85" s="447"/>
    </row>
    <row r="86" spans="1:21" ht="29.1" customHeight="1" x14ac:dyDescent="0.25">
      <c r="A86" s="42"/>
      <c r="B86" s="84"/>
      <c r="C86" s="42"/>
      <c r="D86" s="152"/>
      <c r="E86" s="136"/>
      <c r="F86" s="153"/>
      <c r="G86" s="244"/>
      <c r="H86" s="245"/>
      <c r="I86" s="46"/>
      <c r="J86" s="137"/>
      <c r="K86" s="137"/>
      <c r="L86" s="148"/>
      <c r="M86" s="436" t="str">
        <f>IF(B86="","",'calcul RNA'!P23)</f>
        <v/>
      </c>
      <c r="N86" s="437"/>
      <c r="P86" s="303"/>
    </row>
    <row r="87" spans="1:21" ht="29.1" customHeight="1" x14ac:dyDescent="0.25">
      <c r="A87" s="110"/>
      <c r="B87" s="85"/>
      <c r="C87" s="110"/>
      <c r="D87" s="147"/>
      <c r="E87" s="137"/>
      <c r="F87" s="148"/>
      <c r="G87" s="93"/>
      <c r="H87" s="246"/>
      <c r="I87" s="46"/>
      <c r="J87" s="137"/>
      <c r="K87" s="137"/>
      <c r="L87" s="148"/>
      <c r="M87" s="438" t="str">
        <f>IF(B87="","",'calcul RNA'!P24)</f>
        <v/>
      </c>
      <c r="N87" s="439"/>
      <c r="P87" s="303"/>
    </row>
    <row r="88" spans="1:21" ht="29.1" customHeight="1" x14ac:dyDescent="0.25">
      <c r="A88" s="110"/>
      <c r="B88" s="85"/>
      <c r="C88" s="110"/>
      <c r="D88" s="147"/>
      <c r="E88" s="137"/>
      <c r="F88" s="148"/>
      <c r="G88" s="93"/>
      <c r="H88" s="246"/>
      <c r="I88" s="46"/>
      <c r="J88" s="137"/>
      <c r="K88" s="137"/>
      <c r="L88" s="148"/>
      <c r="M88" s="438" t="str">
        <f>IF(B88="","",'calcul RNA'!P25)</f>
        <v/>
      </c>
      <c r="N88" s="439"/>
      <c r="O88" s="297"/>
      <c r="P88" s="303"/>
      <c r="Q88" s="298"/>
      <c r="R88" s="298"/>
      <c r="S88" s="298"/>
      <c r="T88" s="298"/>
      <c r="U88" s="298"/>
    </row>
    <row r="89" spans="1:21" ht="29.1" customHeight="1" x14ac:dyDescent="0.25">
      <c r="A89" s="110"/>
      <c r="B89" s="85"/>
      <c r="C89" s="110"/>
      <c r="D89" s="147"/>
      <c r="E89" s="137"/>
      <c r="F89" s="148"/>
      <c r="G89" s="93"/>
      <c r="H89" s="246"/>
      <c r="I89" s="46"/>
      <c r="J89" s="137"/>
      <c r="K89" s="137"/>
      <c r="L89" s="148"/>
      <c r="M89" s="438" t="str">
        <f>IF(B89="","",'calcul RNA'!P26)</f>
        <v/>
      </c>
      <c r="N89" s="439"/>
      <c r="P89" s="303"/>
    </row>
    <row r="90" spans="1:21" ht="29.1" customHeight="1" x14ac:dyDescent="0.25">
      <c r="A90" s="308"/>
      <c r="B90" s="309"/>
      <c r="C90" s="310"/>
      <c r="D90" s="311"/>
      <c r="E90" s="312"/>
      <c r="F90" s="313"/>
      <c r="G90" s="314"/>
      <c r="H90" s="315"/>
      <c r="I90" s="316"/>
      <c r="J90" s="312"/>
      <c r="K90" s="312"/>
      <c r="L90" s="313"/>
      <c r="M90" s="438" t="str">
        <f>IF(B90="","",'calcul RNA'!P27)</f>
        <v/>
      </c>
      <c r="N90" s="439"/>
      <c r="P90" s="303"/>
    </row>
    <row r="91" spans="1:21" ht="29.1" customHeight="1" thickBot="1" x14ac:dyDescent="0.3">
      <c r="A91" s="88"/>
      <c r="B91" s="92"/>
      <c r="C91" s="149"/>
      <c r="D91" s="150"/>
      <c r="E91" s="138"/>
      <c r="F91" s="151"/>
      <c r="G91" s="94"/>
      <c r="H91" s="247"/>
      <c r="I91" s="95"/>
      <c r="J91" s="138"/>
      <c r="K91" s="138"/>
      <c r="L91" s="151"/>
      <c r="M91" s="438" t="str">
        <f>IF(B91="","",'calcul RNA'!P28)</f>
        <v/>
      </c>
      <c r="N91" s="439"/>
      <c r="P91" s="305"/>
    </row>
    <row r="92" spans="1:21" ht="29.1" customHeight="1" thickBot="1" x14ac:dyDescent="0.3">
      <c r="A92" s="407" t="s">
        <v>38</v>
      </c>
      <c r="B92" s="408"/>
      <c r="C92" s="408"/>
      <c r="D92" s="408"/>
      <c r="E92" s="408"/>
      <c r="F92" s="408"/>
      <c r="G92" s="408"/>
      <c r="H92" s="408"/>
      <c r="I92" s="408"/>
      <c r="J92" s="408"/>
      <c r="K92" s="408"/>
      <c r="L92" s="409"/>
      <c r="M92" s="464">
        <f>SUM(M86:N90)</f>
        <v>0</v>
      </c>
      <c r="N92" s="465"/>
      <c r="P92" s="306"/>
    </row>
    <row r="93" spans="1:21" x14ac:dyDescent="0.25">
      <c r="J93" s="71"/>
    </row>
    <row r="94" spans="1:21" x14ac:dyDescent="0.25">
      <c r="G94" s="270"/>
      <c r="J94" s="71"/>
    </row>
    <row r="95" spans="1:21" ht="27.95" customHeight="1" x14ac:dyDescent="0.25">
      <c r="A95" s="126" t="s">
        <v>107</v>
      </c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</row>
    <row r="96" spans="1:21" x14ac:dyDescent="0.25">
      <c r="A96" s="13"/>
    </row>
    <row r="97" spans="1:14" ht="15.75" thickBot="1" x14ac:dyDescent="0.3">
      <c r="J97" s="78"/>
    </row>
    <row r="98" spans="1:14" ht="30" customHeight="1" thickBot="1" x14ac:dyDescent="0.3">
      <c r="A98" s="392" t="s">
        <v>29</v>
      </c>
      <c r="B98" s="396"/>
      <c r="C98" s="390" t="s">
        <v>131</v>
      </c>
      <c r="D98" s="391"/>
      <c r="E98" s="405" t="s">
        <v>26</v>
      </c>
      <c r="G98" s="446" t="s">
        <v>294</v>
      </c>
    </row>
    <row r="99" spans="1:14" ht="45" customHeight="1" thickBot="1" x14ac:dyDescent="0.3">
      <c r="A99" s="296" t="s">
        <v>20</v>
      </c>
      <c r="B99" s="83" t="s">
        <v>133</v>
      </c>
      <c r="C99" s="164" t="s">
        <v>187</v>
      </c>
      <c r="D99" s="294" t="s">
        <v>182</v>
      </c>
      <c r="E99" s="406"/>
      <c r="G99" s="447"/>
    </row>
    <row r="100" spans="1:14" ht="27.95" customHeight="1" x14ac:dyDescent="0.25">
      <c r="A100" s="42"/>
      <c r="B100" s="84"/>
      <c r="C100" s="165"/>
      <c r="D100" s="156"/>
      <c r="E100" s="159" t="str">
        <f>IF(B100="","",'calcul BEM'!F14)</f>
        <v/>
      </c>
      <c r="G100" s="303"/>
    </row>
    <row r="101" spans="1:14" ht="27.95" customHeight="1" x14ac:dyDescent="0.25">
      <c r="A101" s="110"/>
      <c r="B101" s="85"/>
      <c r="C101" s="166"/>
      <c r="D101" s="157"/>
      <c r="E101" s="159" t="str">
        <f>IF(B101="","",'calcul BEM'!F15)</f>
        <v/>
      </c>
      <c r="G101" s="303"/>
    </row>
    <row r="102" spans="1:14" ht="27.95" customHeight="1" x14ac:dyDescent="0.25">
      <c r="A102" s="110"/>
      <c r="B102" s="85"/>
      <c r="C102" s="166"/>
      <c r="D102" s="157"/>
      <c r="E102" s="159" t="str">
        <f>IF(B102="","",'calcul BEM'!F16)</f>
        <v/>
      </c>
      <c r="G102" s="303"/>
    </row>
    <row r="103" spans="1:14" ht="27.95" customHeight="1" x14ac:dyDescent="0.25">
      <c r="A103" s="110"/>
      <c r="B103" s="85"/>
      <c r="C103" s="166"/>
      <c r="D103" s="157"/>
      <c r="E103" s="159" t="str">
        <f>IF(B103="","",'calcul BEM'!F17)</f>
        <v/>
      </c>
      <c r="G103" s="303"/>
    </row>
    <row r="104" spans="1:14" ht="27.95" customHeight="1" thickBot="1" x14ac:dyDescent="0.3">
      <c r="A104" s="88"/>
      <c r="B104" s="92"/>
      <c r="C104" s="167"/>
      <c r="D104" s="158"/>
      <c r="E104" s="160" t="str">
        <f>IF(B104="","",'calcul BEM'!F18)</f>
        <v/>
      </c>
      <c r="G104" s="305"/>
      <c r="H104" s="71"/>
    </row>
    <row r="105" spans="1:14" ht="15.75" thickBot="1" x14ac:dyDescent="0.3">
      <c r="A105" s="407"/>
      <c r="B105" s="408"/>
      <c r="C105" s="408"/>
      <c r="D105" s="409"/>
      <c r="E105" s="161">
        <f>SUM(E100:E104)</f>
        <v>0</v>
      </c>
      <c r="G105" s="306"/>
    </row>
    <row r="109" spans="1:14" ht="24" customHeight="1" x14ac:dyDescent="0.25">
      <c r="A109" s="126" t="s">
        <v>158</v>
      </c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</row>
    <row r="110" spans="1:14" x14ac:dyDescent="0.25">
      <c r="A110" s="13"/>
    </row>
    <row r="111" spans="1:14" ht="15.75" thickBot="1" x14ac:dyDescent="0.3">
      <c r="J111" s="78"/>
    </row>
    <row r="112" spans="1:14" ht="30" customHeight="1" x14ac:dyDescent="0.25">
      <c r="A112" s="392" t="s">
        <v>29</v>
      </c>
      <c r="B112" s="396"/>
      <c r="C112" s="295" t="s">
        <v>131</v>
      </c>
      <c r="D112" s="405" t="s">
        <v>26</v>
      </c>
      <c r="F112" s="446" t="s">
        <v>295</v>
      </c>
    </row>
    <row r="113" spans="1:14" ht="45" customHeight="1" thickBot="1" x14ac:dyDescent="0.3">
      <c r="A113" s="296" t="s">
        <v>20</v>
      </c>
      <c r="B113" s="83" t="s">
        <v>133</v>
      </c>
      <c r="C113" s="164" t="s">
        <v>187</v>
      </c>
      <c r="D113" s="406"/>
      <c r="F113" s="447"/>
    </row>
    <row r="114" spans="1:14" ht="27.95" customHeight="1" x14ac:dyDescent="0.25">
      <c r="A114" s="42"/>
      <c r="B114" s="84"/>
      <c r="C114" s="165"/>
      <c r="D114" s="159" t="str">
        <f>'calcul fascines'!D11</f>
        <v/>
      </c>
      <c r="F114" s="303"/>
    </row>
    <row r="115" spans="1:14" ht="27.95" customHeight="1" x14ac:dyDescent="0.25">
      <c r="A115" s="110"/>
      <c r="B115" s="85"/>
      <c r="C115" s="166"/>
      <c r="D115" s="159" t="str">
        <f>'calcul fascines'!D12</f>
        <v/>
      </c>
      <c r="F115" s="303"/>
    </row>
    <row r="116" spans="1:14" ht="27.95" customHeight="1" x14ac:dyDescent="0.25">
      <c r="A116" s="110"/>
      <c r="B116" s="85"/>
      <c r="C116" s="166"/>
      <c r="D116" s="159" t="str">
        <f>'calcul fascines'!D13</f>
        <v/>
      </c>
      <c r="F116" s="303"/>
    </row>
    <row r="117" spans="1:14" ht="27.95" customHeight="1" x14ac:dyDescent="0.25">
      <c r="A117" s="110"/>
      <c r="B117" s="85"/>
      <c r="C117" s="166"/>
      <c r="D117" s="159" t="str">
        <f>'calcul fascines'!D14</f>
        <v/>
      </c>
      <c r="F117" s="303"/>
    </row>
    <row r="118" spans="1:14" ht="27.95" customHeight="1" thickBot="1" x14ac:dyDescent="0.3">
      <c r="A118" s="88"/>
      <c r="B118" s="92"/>
      <c r="C118" s="167"/>
      <c r="D118" s="159" t="str">
        <f>'calcul fascines'!D15</f>
        <v/>
      </c>
      <c r="F118" s="305"/>
      <c r="G118" s="71"/>
    </row>
    <row r="119" spans="1:14" ht="15.75" thickBot="1" x14ac:dyDescent="0.3">
      <c r="A119" s="170"/>
      <c r="B119" s="171"/>
      <c r="C119" s="171">
        <f>SUM(C114:C118)</f>
        <v>0</v>
      </c>
      <c r="D119" s="161">
        <f>SUM(D114:D118)</f>
        <v>0</v>
      </c>
      <c r="F119" s="306"/>
    </row>
    <row r="122" spans="1:14" ht="24" customHeight="1" x14ac:dyDescent="0.25">
      <c r="A122" s="126" t="s">
        <v>156</v>
      </c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</row>
    <row r="123" spans="1:14" x14ac:dyDescent="0.25">
      <c r="A123" s="13"/>
    </row>
    <row r="124" spans="1:14" ht="15.75" thickBot="1" x14ac:dyDescent="0.3">
      <c r="J124" s="78"/>
    </row>
    <row r="125" spans="1:14" ht="30" customHeight="1" x14ac:dyDescent="0.25">
      <c r="A125" s="392" t="s">
        <v>29</v>
      </c>
      <c r="B125" s="396"/>
      <c r="C125" s="295" t="s">
        <v>131</v>
      </c>
      <c r="D125" s="405" t="s">
        <v>26</v>
      </c>
      <c r="F125" s="446" t="s">
        <v>296</v>
      </c>
    </row>
    <row r="126" spans="1:14" ht="39" customHeight="1" thickBot="1" x14ac:dyDescent="0.3">
      <c r="A126" s="296" t="s">
        <v>20</v>
      </c>
      <c r="B126" s="83" t="s">
        <v>133</v>
      </c>
      <c r="C126" s="164" t="s">
        <v>191</v>
      </c>
      <c r="D126" s="406"/>
      <c r="F126" s="447"/>
    </row>
    <row r="127" spans="1:14" ht="28.5" customHeight="1" x14ac:dyDescent="0.25">
      <c r="A127" s="42"/>
      <c r="B127" s="84"/>
      <c r="C127" s="165"/>
      <c r="D127" s="159" t="str">
        <f>IF(B127="","",'calcul CMA'!D20)</f>
        <v/>
      </c>
      <c r="F127" s="303"/>
    </row>
    <row r="128" spans="1:14" ht="28.5" customHeight="1" x14ac:dyDescent="0.25">
      <c r="A128" s="110"/>
      <c r="B128" s="85"/>
      <c r="C128" s="166"/>
      <c r="D128" s="159" t="str">
        <f>IF(B128="","",'calcul CMA'!D21)</f>
        <v/>
      </c>
      <c r="F128" s="303"/>
    </row>
    <row r="129" spans="1:14" ht="28.5" customHeight="1" x14ac:dyDescent="0.25">
      <c r="A129" s="110"/>
      <c r="B129" s="85"/>
      <c r="C129" s="166"/>
      <c r="D129" s="159" t="str">
        <f>IF(B129="","",'calcul CMA'!D22)</f>
        <v/>
      </c>
      <c r="F129" s="303"/>
    </row>
    <row r="130" spans="1:14" ht="28.5" customHeight="1" x14ac:dyDescent="0.25">
      <c r="A130" s="110"/>
      <c r="B130" s="85"/>
      <c r="C130" s="166"/>
      <c r="D130" s="159" t="str">
        <f>IF(B130="","",'calcul CMA'!D23)</f>
        <v/>
      </c>
      <c r="F130" s="303"/>
    </row>
    <row r="131" spans="1:14" ht="26.45" customHeight="1" thickBot="1" x14ac:dyDescent="0.3">
      <c r="A131" s="88"/>
      <c r="B131" s="92"/>
      <c r="C131" s="167"/>
      <c r="D131" s="159" t="str">
        <f>IF(B131="","",'calcul CMA'!D24)</f>
        <v/>
      </c>
      <c r="F131" s="305"/>
    </row>
    <row r="132" spans="1:14" ht="15.75" thickBot="1" x14ac:dyDescent="0.3">
      <c r="A132" s="170"/>
      <c r="B132" s="171"/>
      <c r="C132" s="171"/>
      <c r="D132" s="161">
        <f>SUM(D127:D131)</f>
        <v>0</v>
      </c>
      <c r="F132" s="306"/>
    </row>
    <row r="135" spans="1:14" ht="24" customHeight="1" x14ac:dyDescent="0.25">
      <c r="A135" s="126" t="s">
        <v>157</v>
      </c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</row>
    <row r="136" spans="1:14" x14ac:dyDescent="0.25">
      <c r="A136" s="13"/>
    </row>
    <row r="137" spans="1:14" ht="15.75" thickBot="1" x14ac:dyDescent="0.3">
      <c r="A137" s="13"/>
    </row>
    <row r="138" spans="1:14" ht="33" customHeight="1" x14ac:dyDescent="0.25">
      <c r="A138" s="392" t="s">
        <v>29</v>
      </c>
      <c r="B138" s="396"/>
      <c r="C138" s="295" t="s">
        <v>131</v>
      </c>
      <c r="D138" s="405" t="s">
        <v>26</v>
      </c>
      <c r="F138" s="446" t="s">
        <v>297</v>
      </c>
    </row>
    <row r="139" spans="1:14" ht="48.6" customHeight="1" thickBot="1" x14ac:dyDescent="0.3">
      <c r="A139" s="296" t="s">
        <v>20</v>
      </c>
      <c r="B139" s="83" t="s">
        <v>133</v>
      </c>
      <c r="C139" s="164" t="s">
        <v>191</v>
      </c>
      <c r="D139" s="406"/>
      <c r="F139" s="447"/>
    </row>
    <row r="140" spans="1:14" ht="27.95" customHeight="1" x14ac:dyDescent="0.25">
      <c r="A140" s="42"/>
      <c r="B140" s="84"/>
      <c r="C140" s="165"/>
      <c r="D140" s="159" t="str">
        <f>'calcul RMA'!D20</f>
        <v/>
      </c>
      <c r="F140" s="303"/>
    </row>
    <row r="141" spans="1:14" ht="27.95" customHeight="1" x14ac:dyDescent="0.25">
      <c r="A141" s="110"/>
      <c r="B141" s="85"/>
      <c r="C141" s="166"/>
      <c r="D141" s="159" t="str">
        <f>'calcul RMA'!D21</f>
        <v/>
      </c>
      <c r="F141" s="303"/>
    </row>
    <row r="142" spans="1:14" ht="27.95" customHeight="1" x14ac:dyDescent="0.25">
      <c r="A142" s="110"/>
      <c r="B142" s="85"/>
      <c r="C142" s="166"/>
      <c r="D142" s="159" t="str">
        <f>'calcul RMA'!D22</f>
        <v/>
      </c>
      <c r="F142" s="303"/>
    </row>
    <row r="143" spans="1:14" ht="27.95" customHeight="1" x14ac:dyDescent="0.25">
      <c r="A143" s="110"/>
      <c r="B143" s="85"/>
      <c r="C143" s="166"/>
      <c r="D143" s="159" t="str">
        <f>'calcul RMA'!D23</f>
        <v/>
      </c>
      <c r="F143" s="303"/>
    </row>
    <row r="144" spans="1:14" ht="27.95" customHeight="1" thickBot="1" x14ac:dyDescent="0.3">
      <c r="A144" s="88"/>
      <c r="B144" s="92"/>
      <c r="C144" s="167"/>
      <c r="D144" s="159" t="str">
        <f>'calcul RMA'!D24</f>
        <v/>
      </c>
      <c r="F144" s="305"/>
    </row>
    <row r="145" spans="1:14" ht="15.75" thickBot="1" x14ac:dyDescent="0.3">
      <c r="A145" s="170"/>
      <c r="B145" s="171"/>
      <c r="C145" s="171"/>
      <c r="D145" s="161">
        <f>SUM(D140:D144)</f>
        <v>0</v>
      </c>
      <c r="F145" s="306"/>
    </row>
    <row r="146" spans="1:14" x14ac:dyDescent="0.25">
      <c r="A146" s="13"/>
    </row>
    <row r="147" spans="1:14" x14ac:dyDescent="0.25">
      <c r="A147" s="13"/>
    </row>
    <row r="150" spans="1:14" ht="24" customHeight="1" x14ac:dyDescent="0.25">
      <c r="A150" s="126" t="s">
        <v>263</v>
      </c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</row>
    <row r="151" spans="1:14" x14ac:dyDescent="0.25">
      <c r="A151" s="13"/>
    </row>
    <row r="152" spans="1:14" ht="15.75" thickBot="1" x14ac:dyDescent="0.3">
      <c r="J152" s="78"/>
    </row>
    <row r="153" spans="1:14" ht="60.75" thickBot="1" x14ac:dyDescent="0.3">
      <c r="A153" s="96" t="s">
        <v>20</v>
      </c>
      <c r="B153" s="224" t="s">
        <v>31</v>
      </c>
      <c r="C153" s="221" t="s">
        <v>251</v>
      </c>
      <c r="D153" s="294" t="s">
        <v>281</v>
      </c>
      <c r="F153" s="304" t="s">
        <v>298</v>
      </c>
      <c r="G153" s="81"/>
      <c r="H153" s="82"/>
    </row>
    <row r="154" spans="1:14" ht="28.5" customHeight="1" x14ac:dyDescent="0.25">
      <c r="A154" s="42"/>
      <c r="B154" s="61"/>
      <c r="C154" s="222"/>
      <c r="D154" s="225"/>
      <c r="F154" s="303"/>
    </row>
    <row r="155" spans="1:14" ht="28.5" customHeight="1" x14ac:dyDescent="0.25">
      <c r="A155" s="110"/>
      <c r="B155" s="60"/>
      <c r="C155" s="219"/>
      <c r="D155" s="225"/>
      <c r="F155" s="303"/>
    </row>
    <row r="156" spans="1:14" ht="28.5" customHeight="1" x14ac:dyDescent="0.25">
      <c r="A156" s="110"/>
      <c r="B156" s="60"/>
      <c r="C156" s="219"/>
      <c r="D156" s="225"/>
      <c r="F156" s="303"/>
      <c r="G156" s="71"/>
    </row>
    <row r="157" spans="1:14" ht="28.5" customHeight="1" x14ac:dyDescent="0.25">
      <c r="A157" s="110"/>
      <c r="B157" s="60"/>
      <c r="C157" s="219"/>
      <c r="D157" s="225"/>
      <c r="F157" s="303"/>
      <c r="G157" s="71"/>
    </row>
    <row r="158" spans="1:14" ht="28.5" customHeight="1" thickBot="1" x14ac:dyDescent="0.3">
      <c r="A158" s="88"/>
      <c r="B158" s="226"/>
      <c r="C158" s="220"/>
      <c r="D158" s="225"/>
      <c r="F158" s="305"/>
      <c r="H158" s="71"/>
      <c r="K158" s="71"/>
    </row>
    <row r="159" spans="1:14" ht="26.45" customHeight="1" thickBot="1" x14ac:dyDescent="0.3">
      <c r="A159" s="170"/>
      <c r="B159" s="171"/>
      <c r="C159" s="171"/>
      <c r="D159" s="107">
        <f>SUM(D154:D158)</f>
        <v>0</v>
      </c>
      <c r="F159" s="306"/>
      <c r="H159" s="71"/>
    </row>
    <row r="163" spans="1:14" ht="24" customHeight="1" x14ac:dyDescent="0.25">
      <c r="A163" s="126" t="s">
        <v>282</v>
      </c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</row>
    <row r="164" spans="1:14" x14ac:dyDescent="0.25">
      <c r="A164" s="13"/>
    </row>
    <row r="165" spans="1:14" ht="15.75" thickBot="1" x14ac:dyDescent="0.3"/>
    <row r="166" spans="1:14" ht="60.75" thickBot="1" x14ac:dyDescent="0.3">
      <c r="A166" s="96" t="s">
        <v>20</v>
      </c>
      <c r="B166" s="224" t="s">
        <v>31</v>
      </c>
      <c r="C166" s="221" t="s">
        <v>251</v>
      </c>
      <c r="D166" s="228" t="s">
        <v>26</v>
      </c>
      <c r="F166" s="304" t="s">
        <v>299</v>
      </c>
    </row>
    <row r="167" spans="1:14" ht="27.95" customHeight="1" x14ac:dyDescent="0.25">
      <c r="A167" s="42"/>
      <c r="B167" s="61"/>
      <c r="C167" s="222"/>
      <c r="D167" s="227" t="str">
        <f>'calcul RMU'!D10</f>
        <v/>
      </c>
      <c r="F167" s="303"/>
    </row>
    <row r="168" spans="1:14" ht="27.95" customHeight="1" x14ac:dyDescent="0.25">
      <c r="A168" s="110"/>
      <c r="B168" s="60"/>
      <c r="C168" s="219"/>
      <c r="D168" s="225" t="str">
        <f>'calcul RMU'!D11</f>
        <v/>
      </c>
      <c r="F168" s="303"/>
    </row>
    <row r="169" spans="1:14" ht="27.95" customHeight="1" x14ac:dyDescent="0.25">
      <c r="A169" s="110"/>
      <c r="B169" s="60"/>
      <c r="C169" s="219"/>
      <c r="D169" s="225" t="str">
        <f>'calcul RMU'!D12</f>
        <v/>
      </c>
      <c r="F169" s="303"/>
    </row>
    <row r="170" spans="1:14" ht="27.95" customHeight="1" x14ac:dyDescent="0.25">
      <c r="A170" s="110"/>
      <c r="B170" s="60"/>
      <c r="C170" s="219"/>
      <c r="D170" s="225" t="str">
        <f>'calcul RMU'!D13</f>
        <v/>
      </c>
      <c r="F170" s="303"/>
    </row>
    <row r="171" spans="1:14" ht="27.95" customHeight="1" thickBot="1" x14ac:dyDescent="0.3">
      <c r="A171" s="88"/>
      <c r="B171" s="226"/>
      <c r="C171" s="220"/>
      <c r="D171" s="225" t="str">
        <f>'calcul RMU'!D14</f>
        <v/>
      </c>
      <c r="F171" s="305"/>
    </row>
    <row r="172" spans="1:14" ht="24" customHeight="1" thickBot="1" x14ac:dyDescent="0.3">
      <c r="A172" s="170"/>
      <c r="B172" s="171"/>
      <c r="C172" s="171"/>
      <c r="D172" s="107">
        <f>SUM(D167:D171)</f>
        <v>0</v>
      </c>
      <c r="F172" s="306"/>
    </row>
  </sheetData>
  <mergeCells count="85">
    <mergeCell ref="F138:F139"/>
    <mergeCell ref="R34:R36"/>
    <mergeCell ref="R37:R38"/>
    <mergeCell ref="O53:O54"/>
    <mergeCell ref="I69:I70"/>
    <mergeCell ref="P84:P85"/>
    <mergeCell ref="O41:P41"/>
    <mergeCell ref="O42:P42"/>
    <mergeCell ref="O43:P43"/>
    <mergeCell ref="O44:P44"/>
    <mergeCell ref="O45:P45"/>
    <mergeCell ref="K53:K54"/>
    <mergeCell ref="L53:L54"/>
    <mergeCell ref="M53:M54"/>
    <mergeCell ref="M92:N92"/>
    <mergeCell ref="F72:G72"/>
    <mergeCell ref="M90:N90"/>
    <mergeCell ref="I84:L84"/>
    <mergeCell ref="G98:G99"/>
    <mergeCell ref="F112:F113"/>
    <mergeCell ref="G84:H84"/>
    <mergeCell ref="M84:N85"/>
    <mergeCell ref="M86:N86"/>
    <mergeCell ref="M87:N87"/>
    <mergeCell ref="M88:N88"/>
    <mergeCell ref="M89:N89"/>
    <mergeCell ref="M91:N91"/>
    <mergeCell ref="A125:B125"/>
    <mergeCell ref="D125:D126"/>
    <mergeCell ref="F125:F126"/>
    <mergeCell ref="F53:I53"/>
    <mergeCell ref="A76:E76"/>
    <mergeCell ref="F73:G73"/>
    <mergeCell ref="F74:G74"/>
    <mergeCell ref="A112:B112"/>
    <mergeCell ref="D112:D113"/>
    <mergeCell ref="F75:G75"/>
    <mergeCell ref="F76:G76"/>
    <mergeCell ref="E98:E99"/>
    <mergeCell ref="A105:D105"/>
    <mergeCell ref="A98:B98"/>
    <mergeCell ref="D69:E69"/>
    <mergeCell ref="A84:B84"/>
    <mergeCell ref="H16:I16"/>
    <mergeCell ref="H17:I17"/>
    <mergeCell ref="H18:I18"/>
    <mergeCell ref="F69:G70"/>
    <mergeCell ref="O39:P39"/>
    <mergeCell ref="O40:P40"/>
    <mergeCell ref="O37:P38"/>
    <mergeCell ref="H19:I19"/>
    <mergeCell ref="H20:I20"/>
    <mergeCell ref="H21:I21"/>
    <mergeCell ref="H22:I22"/>
    <mergeCell ref="H23:I23"/>
    <mergeCell ref="H24:I24"/>
    <mergeCell ref="H25:I25"/>
    <mergeCell ref="H26:I26"/>
    <mergeCell ref="I37:N37"/>
    <mergeCell ref="A138:B138"/>
    <mergeCell ref="D138:D139"/>
    <mergeCell ref="A92:L92"/>
    <mergeCell ref="E2:L2"/>
    <mergeCell ref="E3:L3"/>
    <mergeCell ref="E4:L4"/>
    <mergeCell ref="E5:L5"/>
    <mergeCell ref="D10:H10"/>
    <mergeCell ref="J53:J54"/>
    <mergeCell ref="G37:H37"/>
    <mergeCell ref="C37:F37"/>
    <mergeCell ref="H29:I29"/>
    <mergeCell ref="A10:C10"/>
    <mergeCell ref="D12:H12"/>
    <mergeCell ref="C17:D17"/>
    <mergeCell ref="A12:C12"/>
    <mergeCell ref="A37:B37"/>
    <mergeCell ref="A69:B69"/>
    <mergeCell ref="C27:D27"/>
    <mergeCell ref="C18:D18"/>
    <mergeCell ref="C16:D16"/>
    <mergeCell ref="C98:D98"/>
    <mergeCell ref="A53:B53"/>
    <mergeCell ref="C53:E53"/>
    <mergeCell ref="C84:F84"/>
    <mergeCell ref="F71:G71"/>
  </mergeCells>
  <dataValidations count="1">
    <dataValidation allowBlank="1" showInputMessage="1" showErrorMessage="1" sqref="M39:N44" xr:uid="{00000000-0002-0000-0100-000000000000}"/>
  </dataValidations>
  <pageMargins left="0.7" right="0.7" top="0.75" bottom="0.75" header="0.3" footer="0.3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100-000001000000}">
          <x14:formula1>
            <xm:f>'calcul AIP'!$B$31:$B$32</xm:f>
          </x14:formula1>
          <xm:sqref>J55:K59</xm:sqref>
        </x14:dataValidation>
        <x14:dataValidation type="list" allowBlank="1" showInputMessage="1" showErrorMessage="1" xr:uid="{00000000-0002-0000-0100-000002000000}">
          <x14:formula1>
            <xm:f>'calcul haies'!$A$34:$A$35</xm:f>
          </x14:formula1>
          <xm:sqref>E39:F44 R39:R45 O55:O60 I71:I76 P86:P92 G100:G105 F114:F119 F127:F132 F140:F145 F154:F159 F167:F172 I39:L44</xm:sqref>
        </x14:dataValidation>
        <x14:dataValidation type="list" allowBlank="1" showInputMessage="1" showErrorMessage="1" xr:uid="{00000000-0002-0000-0100-000003000000}">
          <x14:formula1>
            <xm:f>'calcul haies'!$B$34:$B$35</xm:f>
          </x14:formula1>
          <xm:sqref>D39:D44</xm:sqref>
        </x14:dataValidation>
        <x14:dataValidation type="list" allowBlank="1" showInputMessage="1" showErrorMessage="1" xr:uid="{00000000-0002-0000-0100-000004000000}">
          <x14:formula1>
            <xm:f>'calcul RNA'!$A$34:$A$35</xm:f>
          </x14:formula1>
          <xm:sqref>C86:C91</xm:sqref>
        </x14:dataValidation>
        <x14:dataValidation type="list" allowBlank="1" showInputMessage="1" showErrorMessage="1" xr:uid="{00000000-0002-0000-0100-000005000000}">
          <x14:formula1>
            <xm:f>'calcul RNA'!$B$34:$B$35</xm:f>
          </x14:formula1>
          <xm:sqref>I86:L91 E86:F91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Z40"/>
  <sheetViews>
    <sheetView showGridLines="0" zoomScale="70" zoomScaleNormal="70" workbookViewId="0">
      <selection activeCell="S46" sqref="S46"/>
    </sheetView>
  </sheetViews>
  <sheetFormatPr baseColWidth="10" defaultRowHeight="15" x14ac:dyDescent="0.25"/>
  <cols>
    <col min="1" max="1" width="16.5703125" customWidth="1"/>
    <col min="2" max="2" width="15.85546875" customWidth="1"/>
    <col min="4" max="6" width="14.42578125" customWidth="1"/>
    <col min="7" max="7" width="15.140625" customWidth="1"/>
    <col min="8" max="8" width="16" customWidth="1"/>
    <col min="9" max="9" width="16.42578125" customWidth="1"/>
    <col min="10" max="10" width="14.42578125" customWidth="1"/>
    <col min="11" max="15" width="15.28515625" customWidth="1"/>
    <col min="16" max="16" width="17.140625" customWidth="1"/>
    <col min="17" max="17" width="18.85546875" customWidth="1"/>
  </cols>
  <sheetData>
    <row r="2" spans="1:26" ht="26.25" x14ac:dyDescent="0.25">
      <c r="A2" s="7" t="s">
        <v>199</v>
      </c>
    </row>
    <row r="3" spans="1:26" ht="18.75" x14ac:dyDescent="0.25">
      <c r="A3" s="8" t="s">
        <v>15</v>
      </c>
    </row>
    <row r="4" spans="1:26" ht="18.75" x14ac:dyDescent="0.25">
      <c r="A4" s="8" t="s">
        <v>16</v>
      </c>
    </row>
    <row r="8" spans="1:26" ht="32.1" customHeight="1" x14ac:dyDescent="0.25">
      <c r="A8" s="474" t="s">
        <v>29</v>
      </c>
      <c r="B8" s="474"/>
      <c r="C8" s="478" t="s">
        <v>54</v>
      </c>
      <c r="D8" s="479"/>
      <c r="E8" s="479"/>
      <c r="F8" s="479"/>
      <c r="G8" s="480"/>
      <c r="H8" s="466" t="s">
        <v>123</v>
      </c>
      <c r="I8" s="466" t="s">
        <v>55</v>
      </c>
      <c r="J8" s="475" t="s">
        <v>126</v>
      </c>
      <c r="K8" s="476"/>
      <c r="L8" s="476"/>
      <c r="M8" s="477"/>
      <c r="N8" s="468" t="s">
        <v>59</v>
      </c>
      <c r="O8" s="466" t="s">
        <v>253</v>
      </c>
      <c r="P8" s="466" t="s">
        <v>254</v>
      </c>
      <c r="Q8" s="466" t="s">
        <v>214</v>
      </c>
      <c r="R8" s="466" t="s">
        <v>215</v>
      </c>
      <c r="S8" s="468" t="s">
        <v>60</v>
      </c>
      <c r="T8" s="472"/>
    </row>
    <row r="9" spans="1:26" ht="30" x14ac:dyDescent="0.25">
      <c r="A9" s="58" t="s">
        <v>51</v>
      </c>
      <c r="B9" s="58" t="s">
        <v>52</v>
      </c>
      <c r="C9" s="168" t="s">
        <v>62</v>
      </c>
      <c r="D9" s="168" t="s">
        <v>53</v>
      </c>
      <c r="E9" s="168"/>
      <c r="F9" s="168"/>
      <c r="G9" s="168"/>
      <c r="H9" s="467"/>
      <c r="I9" s="467"/>
      <c r="J9" s="58" t="s">
        <v>213</v>
      </c>
      <c r="K9" s="58" t="s">
        <v>127</v>
      </c>
      <c r="L9" s="58" t="s">
        <v>128</v>
      </c>
      <c r="M9" s="58" t="s">
        <v>129</v>
      </c>
      <c r="N9" s="468"/>
      <c r="O9" s="467"/>
      <c r="P9" s="467"/>
      <c r="Q9" s="467"/>
      <c r="R9" s="467"/>
      <c r="S9" s="468"/>
      <c r="T9" s="472"/>
    </row>
    <row r="10" spans="1:26" x14ac:dyDescent="0.25">
      <c r="A10" s="31" t="str">
        <f>IF(SYNTHESE!A39="","",SYNTHESE!A39)</f>
        <v/>
      </c>
      <c r="B10" s="31" t="str">
        <f>IF(SYNTHESE!B39="","",SYNTHESE!B39)</f>
        <v/>
      </c>
      <c r="C10" s="31" t="str">
        <f>IF(A10="","",SYNTHESE!C39)</f>
        <v/>
      </c>
      <c r="D10" s="31" t="str">
        <f>IF(A10="","",SYNTHESE!D39)</f>
        <v/>
      </c>
      <c r="E10" s="31"/>
      <c r="F10" s="33"/>
      <c r="G10" s="33"/>
      <c r="H10" s="32" t="str">
        <f>IF(B10="","",IF(SYNTHESE!F39="oui","non","oui"))</f>
        <v/>
      </c>
      <c r="I10" s="31" t="str">
        <f>IF(A10="","","oui")</f>
        <v/>
      </c>
      <c r="J10" s="34" t="str">
        <f>IF(B10="","",IF((SYNTHESE!G39+SYNTHESE!H39)&lt;0.5,"Erreur VL+MFR","oui"))</f>
        <v/>
      </c>
      <c r="K10" s="33" t="str">
        <f>IF(B10="","",C10*SYNTHESE!G39)</f>
        <v/>
      </c>
      <c r="L10" s="33" t="str">
        <f>IF(B10="","",SYNTHESE!H39*C10)</f>
        <v/>
      </c>
      <c r="M10" s="33" t="str">
        <f>IF(B10="","",C10-K10-L10)</f>
        <v/>
      </c>
      <c r="N10" s="31" t="str">
        <f>IF(B10="","","oui")</f>
        <v/>
      </c>
      <c r="O10" s="31" t="str">
        <f>IF(A10="","",IF(AND(SYNTHESE!I39="oui",SYNTHESE!J39="oui",SYNTHESE!K39="oui"),"erreur",IF(AND(SYNTHESE!I39="non",SYNTHESE!J39="non",SYNTHESE!K39="non"),"non","oui")))</f>
        <v/>
      </c>
      <c r="P10" s="32" t="str">
        <f>IF(A10="","",IF(AND(O10="oui",SYNTHESE!L39="oui"),"oui",IF(AND(O10="oui",SYNTHESE!L39="non"),"oui",IF(AND('calcul haies'!O10="non",SYNTHESE!L39="non"),"erreur",IF(AND(O10="non",SYNTHESE!L39="oui"),"oui",IF(AND('calcul haies'!O10="erreur",SYNTHESE!L39="oui"),"erreur","erreur"))))))</f>
        <v/>
      </c>
      <c r="Q10" s="291" t="str">
        <f>IF(A10="","",IF(AND(O10="non",SYNTHESE!M39+SYNTHESE!N39=100%),SYNTHESE!M39*'calcul haies'!C10,IF(AND(O10="oui",SYNTHESE!M39+SYNTHESE!N39&lt;=100%),SYNTHESE!M39*'calcul haies'!C10,"erreur")))</f>
        <v/>
      </c>
      <c r="R10" s="291" t="str">
        <f>IF(A10="","",IF(AND(O10="non",SYNTHESE!M39+SYNTHESE!N39=100%),SYNTHESE!N39*'calcul haies'!C10,IF(AND(O10="oui",SYNTHESE!M39+SYNTHESE!N39&lt;=100%),SYNTHESE!N39*'calcul haies'!C10,"erreur")))</f>
        <v/>
      </c>
      <c r="S10" s="31" t="str">
        <f>IF(B10="","","oui")</f>
        <v/>
      </c>
    </row>
    <row r="11" spans="1:26" x14ac:dyDescent="0.25">
      <c r="A11" s="31" t="str">
        <f>IF(SYNTHESE!A40="","",SYNTHESE!A40)</f>
        <v/>
      </c>
      <c r="B11" s="31" t="str">
        <f>IF(SYNTHESE!B40="","",SYNTHESE!B40)</f>
        <v/>
      </c>
      <c r="C11" s="32" t="str">
        <f>IF(A11="","",SYNTHESE!C40)</f>
        <v/>
      </c>
      <c r="D11" s="32" t="str">
        <f>IF(A11="","",SYNTHESE!D40)</f>
        <v/>
      </c>
      <c r="E11" s="32"/>
      <c r="F11" s="33"/>
      <c r="G11" s="33"/>
      <c r="H11" s="32" t="str">
        <f>IF(B11="","",IF(SYNTHESE!F40="oui","non","oui"))</f>
        <v/>
      </c>
      <c r="I11" s="32" t="str">
        <f t="shared" ref="I11:I15" si="0">IF(A11="","","oui")</f>
        <v/>
      </c>
      <c r="J11" s="34" t="str">
        <f>IF(B11="","",IF((SYNTHESE!G40+SYNTHESE!H40)&lt;0.5,"Erreur VL+MFR","oui"))</f>
        <v/>
      </c>
      <c r="K11" s="33" t="str">
        <f>IF(B11="","",C11*SYNTHESE!G40)</f>
        <v/>
      </c>
      <c r="L11" s="33" t="str">
        <f>IF(B11="","",SYNTHESE!H40*C11)</f>
        <v/>
      </c>
      <c r="M11" s="33" t="str">
        <f t="shared" ref="M11:M15" si="1">IF(B11="","",C11-K11-L11)</f>
        <v/>
      </c>
      <c r="N11" s="32" t="str">
        <f t="shared" ref="N11:N15" si="2">IF(B11="","","oui")</f>
        <v/>
      </c>
      <c r="O11" s="32" t="str">
        <f>IF(A11="","",IF(AND(SYNTHESE!I40="oui",SYNTHESE!J40="oui"),"erreur",IF(AND(SYNTHESE!I40="non",SYNTHESE!J40="non"),"non","oui")))</f>
        <v/>
      </c>
      <c r="P11" s="32" t="str">
        <f>IF(A11="","",IF(AND(O11="oui",SYNTHESE!L40="oui"),"oui",IF(AND(O11="oui",SYNTHESE!L40="non"),"oui",IF(AND('calcul haies'!O11="non",SYNTHESE!L40="non"),"erreur",IF(AND(O11="non",SYNTHESE!L40="oui"),"oui",IF(AND('calcul haies'!O11="erreur",SYNTHESE!L40="oui"),"erreur","erreur"))))))</f>
        <v/>
      </c>
      <c r="Q11" s="291" t="str">
        <f>IF(A11="","",SYNTHESE!M40*C11)</f>
        <v/>
      </c>
      <c r="R11" s="291" t="str">
        <f>IF(A11="","",SYNTHESE!N40*C11)</f>
        <v/>
      </c>
      <c r="S11" s="32" t="str">
        <f t="shared" ref="S11:S15" si="3">IF(B11="","","oui")</f>
        <v/>
      </c>
    </row>
    <row r="12" spans="1:26" x14ac:dyDescent="0.25">
      <c r="A12" s="31" t="str">
        <f>IF(SYNTHESE!A41="","",SYNTHESE!A41)</f>
        <v/>
      </c>
      <c r="B12" s="31" t="str">
        <f>IF(SYNTHESE!B41="","",SYNTHESE!B41)</f>
        <v/>
      </c>
      <c r="C12" s="32" t="str">
        <f>IF(A12="","",SYNTHESE!C41)</f>
        <v/>
      </c>
      <c r="D12" s="32" t="str">
        <f>IF(A12="","",SYNTHESE!D41)</f>
        <v/>
      </c>
      <c r="E12" s="32"/>
      <c r="F12" s="33"/>
      <c r="G12" s="33"/>
      <c r="H12" s="32" t="str">
        <f>IF(B12="","",IF(SYNTHESE!F41="oui","non","oui"))</f>
        <v/>
      </c>
      <c r="I12" s="32" t="str">
        <f t="shared" si="0"/>
        <v/>
      </c>
      <c r="J12" s="34" t="str">
        <f>IF(B12="","",IF((SYNTHESE!G41+SYNTHESE!H41)&lt;0.5,"Erreur VL+MFR","oui"))</f>
        <v/>
      </c>
      <c r="K12" s="33" t="str">
        <f>IF(B12="","",C12*SYNTHESE!G41)</f>
        <v/>
      </c>
      <c r="L12" s="33" t="str">
        <f>IF(B12="","",SYNTHESE!H41*C12)</f>
        <v/>
      </c>
      <c r="M12" s="33" t="str">
        <f t="shared" si="1"/>
        <v/>
      </c>
      <c r="N12" s="32" t="str">
        <f t="shared" si="2"/>
        <v/>
      </c>
      <c r="O12" s="32" t="str">
        <f>IF(A12="","",IF(AND(SYNTHESE!I41="oui",SYNTHESE!J41="oui"),"erreur",IF(AND(SYNTHESE!I41="non",SYNTHESE!J41="non"),"non","oui")))</f>
        <v/>
      </c>
      <c r="P12" s="32" t="str">
        <f>IF(A12="","",IF(AND(O12="oui",SYNTHESE!L41="oui"),"oui",IF(AND(O12="oui",SYNTHESE!L41="non"),"oui",IF(AND('calcul haies'!O12="non",SYNTHESE!L41="non"),"erreur",IF(AND(O12="non",SYNTHESE!L41="oui"),"oui",IF(AND('calcul haies'!O12="erreur",SYNTHESE!L41="oui"),"erreur","erreur"))))))</f>
        <v/>
      </c>
      <c r="Q12" s="291" t="str">
        <f>IF(A12="","",SYNTHESE!M41*C12)</f>
        <v/>
      </c>
      <c r="R12" s="291" t="str">
        <f>IF(A12="","",SYNTHESE!N41*C12)</f>
        <v/>
      </c>
      <c r="S12" s="32" t="str">
        <f t="shared" si="3"/>
        <v/>
      </c>
      <c r="T12" s="272"/>
      <c r="U12" s="249"/>
      <c r="V12" s="249"/>
      <c r="W12" s="249"/>
      <c r="X12" s="249"/>
      <c r="Y12" s="249"/>
      <c r="Z12" s="249"/>
    </row>
    <row r="13" spans="1:26" x14ac:dyDescent="0.25">
      <c r="A13" s="31" t="str">
        <f>IF(SYNTHESE!A42="","",SYNTHESE!A42)</f>
        <v/>
      </c>
      <c r="B13" s="31" t="str">
        <f>IF(SYNTHESE!B42="","",SYNTHESE!B42)</f>
        <v/>
      </c>
      <c r="C13" s="32" t="str">
        <f>IF(A13="","",SYNTHESE!C42)</f>
        <v/>
      </c>
      <c r="D13" s="32" t="str">
        <f>IF(A13="","",SYNTHESE!D42)</f>
        <v/>
      </c>
      <c r="E13" s="32"/>
      <c r="F13" s="33"/>
      <c r="G13" s="33"/>
      <c r="H13" s="32" t="str">
        <f>IF(B13="","",IF(SYNTHESE!F42="oui","non","oui"))</f>
        <v/>
      </c>
      <c r="I13" s="32" t="str">
        <f t="shared" si="0"/>
        <v/>
      </c>
      <c r="J13" s="34" t="str">
        <f>IF(B13="","",IF((SYNTHESE!G42+SYNTHESE!H42)&lt;0.5,"Erreur VL+MFR","oui"))</f>
        <v/>
      </c>
      <c r="K13" s="33" t="str">
        <f>IF(B13="","",C13*SYNTHESE!G42)</f>
        <v/>
      </c>
      <c r="L13" s="33" t="str">
        <f>IF(B13="","",SYNTHESE!H42*C13)</f>
        <v/>
      </c>
      <c r="M13" s="33" t="str">
        <f t="shared" si="1"/>
        <v/>
      </c>
      <c r="N13" s="32" t="str">
        <f t="shared" si="2"/>
        <v/>
      </c>
      <c r="O13" s="32" t="str">
        <f>IF(A13="","",IF(AND(SYNTHESE!I42="oui",SYNTHESE!J42="oui"),"erreur",IF(AND(SYNTHESE!I42="non",SYNTHESE!J42="non"),"non","oui")))</f>
        <v/>
      </c>
      <c r="P13" s="32" t="str">
        <f>IF(A13="","",IF(AND(O13="oui",SYNTHESE!L42="oui"),"oui",IF(AND(O13="oui",SYNTHESE!L42="non"),"oui",IF(AND('calcul haies'!O13="non",SYNTHESE!L42="non"),"erreur",IF(AND(O13="non",SYNTHESE!L42="oui"),"oui",IF(AND('calcul haies'!O13="erreur",SYNTHESE!L42="oui"),"erreur","erreur"))))))</f>
        <v/>
      </c>
      <c r="Q13" s="291" t="str">
        <f>IF(A13="","",SYNTHESE!M42*C13)</f>
        <v/>
      </c>
      <c r="R13" s="291" t="str">
        <f>IF(A13="","",SYNTHESE!N42*C13)</f>
        <v/>
      </c>
      <c r="S13" s="32" t="str">
        <f t="shared" si="3"/>
        <v/>
      </c>
      <c r="T13" s="253"/>
    </row>
    <row r="14" spans="1:26" x14ac:dyDescent="0.25">
      <c r="A14" s="31" t="str">
        <f>IF(SYNTHESE!A43="","",SYNTHESE!A43)</f>
        <v/>
      </c>
      <c r="B14" s="31" t="str">
        <f>IF(SYNTHESE!B43="","",SYNTHESE!B43)</f>
        <v/>
      </c>
      <c r="C14" s="32" t="str">
        <f>IF(A14="","",SYNTHESE!C43)</f>
        <v/>
      </c>
      <c r="D14" s="32" t="str">
        <f>IF(A14="","",SYNTHESE!D43)</f>
        <v/>
      </c>
      <c r="E14" s="32"/>
      <c r="F14" s="33"/>
      <c r="G14" s="33"/>
      <c r="H14" s="32" t="str">
        <f>IF(B14="","",IF(SYNTHESE!F43="oui","non","oui"))</f>
        <v/>
      </c>
      <c r="I14" s="32" t="str">
        <f t="shared" si="0"/>
        <v/>
      </c>
      <c r="J14" s="34" t="str">
        <f>IF(B14="","",IF((SYNTHESE!G43+SYNTHESE!H43)&lt;0.5,"Erreur VL+MFR","oui"))</f>
        <v/>
      </c>
      <c r="K14" s="33" t="str">
        <f>IF(B14="","",C14*SYNTHESE!G43)</f>
        <v/>
      </c>
      <c r="L14" s="33" t="str">
        <f>IF(B14="","",SYNTHESE!H43*C14)</f>
        <v/>
      </c>
      <c r="M14" s="33" t="str">
        <f t="shared" si="1"/>
        <v/>
      </c>
      <c r="N14" s="32" t="str">
        <f t="shared" si="2"/>
        <v/>
      </c>
      <c r="O14" s="32" t="str">
        <f>IF(A14="","",IF(AND(SYNTHESE!I43="oui",SYNTHESE!J43="oui"),"erreur",IF(AND(SYNTHESE!I43="non",SYNTHESE!J43="non"),"non","oui")))</f>
        <v/>
      </c>
      <c r="P14" s="32" t="str">
        <f>IF(A14="","",IF(AND(O14="oui",SYNTHESE!L43="oui"),"oui",IF(AND(O14="oui",SYNTHESE!L43="non"),"oui",IF(AND('calcul haies'!O14="non",SYNTHESE!L43="non"),"erreur",IF(AND(O14="non",SYNTHESE!L43="oui"),"oui",IF(AND('calcul haies'!O14="erreur",SYNTHESE!L43="oui"),"erreur","erreur"))))))</f>
        <v/>
      </c>
      <c r="Q14" s="291" t="str">
        <f>IF(A14="","",SYNTHESE!M43*C14)</f>
        <v/>
      </c>
      <c r="R14" s="291" t="str">
        <f>IF(A14="","",SYNTHESE!N43*C14)</f>
        <v/>
      </c>
      <c r="S14" s="32" t="str">
        <f t="shared" si="3"/>
        <v/>
      </c>
    </row>
    <row r="15" spans="1:26" x14ac:dyDescent="0.25">
      <c r="A15" s="31" t="str">
        <f>IF(SYNTHESE!A44="","",SYNTHESE!A44)</f>
        <v/>
      </c>
      <c r="B15" s="31" t="str">
        <f>IF(SYNTHESE!B44="","",SYNTHESE!B44)</f>
        <v/>
      </c>
      <c r="C15" s="32" t="str">
        <f>IF(A15="","",SYNTHESE!C44)</f>
        <v/>
      </c>
      <c r="D15" s="32" t="str">
        <f>IF(A15="","",SYNTHESE!D44)</f>
        <v/>
      </c>
      <c r="E15" s="32"/>
      <c r="F15" s="33"/>
      <c r="G15" s="33"/>
      <c r="H15" s="32" t="str">
        <f>IF(B15="","",IF(SYNTHESE!F44="oui","non","oui"))</f>
        <v/>
      </c>
      <c r="I15" s="32" t="str">
        <f t="shared" si="0"/>
        <v/>
      </c>
      <c r="J15" s="34" t="str">
        <f>IF(B15="","",IF((SYNTHESE!G44+SYNTHESE!H44)&lt;0.5,"Erreur VL+MFR","oui"))</f>
        <v/>
      </c>
      <c r="K15" s="33" t="str">
        <f>IF(B15="","",C15*SYNTHESE!G44)</f>
        <v/>
      </c>
      <c r="L15" s="33" t="str">
        <f>IF(B15="","",SYNTHESE!H44*C15)</f>
        <v/>
      </c>
      <c r="M15" s="33" t="str">
        <f t="shared" si="1"/>
        <v/>
      </c>
      <c r="N15" s="32" t="str">
        <f t="shared" si="2"/>
        <v/>
      </c>
      <c r="O15" s="32" t="str">
        <f>IF(A15="","",IF(AND(SYNTHESE!I44="oui",SYNTHESE!J44="oui"),"erreur",IF(AND(SYNTHESE!I44="non",SYNTHESE!J44="non"),"non","oui")))</f>
        <v/>
      </c>
      <c r="P15" s="32" t="str">
        <f>IF(A15="","",IF(AND(O15="oui",SYNTHESE!L44="oui"),"oui",IF(AND(O15="oui",SYNTHESE!L44="non"),"oui",IF(AND('calcul haies'!O15="non",SYNTHESE!L44="non"),"erreur",IF(AND(O15="non",SYNTHESE!L44="oui"),"oui",IF(AND('calcul haies'!O15="erreur",SYNTHESE!L44="oui"),"erreur","erreur"))))))</f>
        <v/>
      </c>
      <c r="Q15" s="291" t="str">
        <f>IF(A15="","",SYNTHESE!M44*C15)</f>
        <v/>
      </c>
      <c r="R15" s="291" t="str">
        <f>IF(A15="","",SYNTHESE!N44*C15)</f>
        <v/>
      </c>
      <c r="S15" s="32" t="str">
        <f t="shared" si="3"/>
        <v/>
      </c>
    </row>
    <row r="17" spans="1:21" x14ac:dyDescent="0.25">
      <c r="A17" s="38" t="s">
        <v>275</v>
      </c>
      <c r="C17" s="257"/>
    </row>
    <row r="19" spans="1:21" s="202" customFormat="1" ht="43.5" customHeight="1" x14ac:dyDescent="0.25">
      <c r="A19" s="473" t="s">
        <v>29</v>
      </c>
      <c r="B19" s="473"/>
      <c r="C19" s="466" t="s">
        <v>123</v>
      </c>
      <c r="D19" s="466" t="s">
        <v>55</v>
      </c>
      <c r="E19" s="475" t="s">
        <v>0</v>
      </c>
      <c r="F19" s="476"/>
      <c r="G19" s="476"/>
      <c r="H19" s="477"/>
      <c r="I19" s="468" t="s">
        <v>59</v>
      </c>
      <c r="J19" s="481" t="s">
        <v>39</v>
      </c>
      <c r="K19" s="482"/>
      <c r="L19" s="482"/>
      <c r="M19" s="482"/>
      <c r="N19" s="482"/>
      <c r="O19" s="482"/>
      <c r="P19" s="483"/>
      <c r="Q19" s="468" t="s">
        <v>60</v>
      </c>
      <c r="R19" s="469" t="s">
        <v>274</v>
      </c>
      <c r="S19" s="257"/>
    </row>
    <row r="20" spans="1:21" s="202" customFormat="1" ht="30" x14ac:dyDescent="0.25">
      <c r="A20" s="192" t="s">
        <v>51</v>
      </c>
      <c r="B20" s="192" t="s">
        <v>52</v>
      </c>
      <c r="C20" s="467"/>
      <c r="D20" s="467"/>
      <c r="E20" s="192" t="s">
        <v>64</v>
      </c>
      <c r="F20" s="192" t="s">
        <v>65</v>
      </c>
      <c r="G20" s="192" t="s">
        <v>66</v>
      </c>
      <c r="H20" s="192" t="s">
        <v>67</v>
      </c>
      <c r="I20" s="468"/>
      <c r="J20" s="192" t="s">
        <v>68</v>
      </c>
      <c r="K20" s="59" t="s">
        <v>219</v>
      </c>
      <c r="L20" s="194" t="s">
        <v>23</v>
      </c>
      <c r="M20" s="194" t="s">
        <v>24</v>
      </c>
      <c r="N20" s="324" t="s">
        <v>172</v>
      </c>
      <c r="O20" s="194" t="s">
        <v>216</v>
      </c>
      <c r="P20" s="194" t="s">
        <v>217</v>
      </c>
      <c r="Q20" s="468"/>
      <c r="R20" s="469"/>
      <c r="S20" s="470"/>
      <c r="T20" s="471"/>
      <c r="U20" s="471"/>
    </row>
    <row r="21" spans="1:21" s="202" customFormat="1" x14ac:dyDescent="0.25">
      <c r="A21" s="32" t="str">
        <f>A10</f>
        <v/>
      </c>
      <c r="B21" s="32" t="str">
        <f>B10</f>
        <v/>
      </c>
      <c r="C21" s="201" t="str">
        <f>IF(B21="","",IF(H10="oui",IF(D10=1,C10*Barèmes!$E$13,IF(D10=2,C10*Barèmes!$F$13,0)),0))</f>
        <v/>
      </c>
      <c r="D21" s="195" t="str">
        <f>IF(B21="","",IF(D10=1,Barèmes!$E$14*C10,IF(D10=2,Barèmes!$F$14*C10,0)))</f>
        <v/>
      </c>
      <c r="E21" s="195" t="str">
        <f>IF(B21="","",F21+G21+H21)</f>
        <v/>
      </c>
      <c r="F21" s="195" t="str">
        <f>IF(B21="","",IF(J10="oui",IF(D10=1,Barèmes!$E$16*K10,IF(D10=2,Barèmes!$F$16*K10,0)),"erreur"))</f>
        <v/>
      </c>
      <c r="G21" s="195" t="str">
        <f>IF(B21="","",IF(J10="oui",IF(D10=1,Barèmes!$E$17*L10,IF(D10=2,Barèmes!$F$17*L10,0)),"erreur"))</f>
        <v/>
      </c>
      <c r="H21" s="195" t="str">
        <f>IF(B21="","",IF(J10="oui",IF(D10=1,Barèmes!$E$15*M10,IF(D10=2,Barèmes!$F$15*M10,0)),"erreur"))</f>
        <v/>
      </c>
      <c r="I21" s="195" t="str">
        <f>IF(B21="","",IF(D10=1,Barèmes!$E$18*C10,IF(D10=2,Barèmes!$F$18*C10,0)))</f>
        <v/>
      </c>
      <c r="J21" s="195" t="str">
        <f t="shared" ref="J21:J26" si="4">IF(A21="","",IF(P10="oui",K21+O21+P21,"erreur"))</f>
        <v/>
      </c>
      <c r="K21" s="195" t="str">
        <f>IF(A21="","",IF(SYNTHESE!E39="oui",(L21*2)+(M21*2)+(N21*2),(L21+M21+N21)))</f>
        <v/>
      </c>
      <c r="L21" s="201" t="str">
        <f>IF(B21="","",IF(O10="oui",IF(SYNTHESE!I39="oui",IF(D10=1,C10*Barèmes!$E$19,IF(D10=2,C10*Barèmes!$F$19,0)),IF(SYNTHESE!I39="non",0))))</f>
        <v/>
      </c>
      <c r="M21" s="201" t="str">
        <f>IF(B21="","",IF(O10="oui",IF(SYNTHESE!J39="oui",IF(D10=1,C10*Barèmes!$E$20,IF(D10=2,C10*Barèmes!$F$20,0)),0)))</f>
        <v/>
      </c>
      <c r="N21" s="201" t="str">
        <f>IF(B21="","",IF(O10="oui",IF(SYNTHESE!K39="oui",IF(D10=1,C10*Barèmes!$E$21,IF(D10=2,C10*Barèmes!$F$21,0)),0)))</f>
        <v/>
      </c>
      <c r="O21" s="203">
        <f>IF(A10=" "," ",IF(D10=1,Barèmes!$E$22*'calcul haies'!Q10,IF('calcul haies'!D10=2,Barèmes!$F$22*'calcul haies'!Q10,0)))</f>
        <v>0</v>
      </c>
      <c r="P21" s="203">
        <f>IF(B21=" "," ",IF(D10=1,Barèmes!$E$23*'calcul haies'!R10,IF(D10=2,Barèmes!$F$23*'calcul haies'!R10,0)))</f>
        <v>0</v>
      </c>
      <c r="Q21" s="201" t="str">
        <f>IF(B21="","",IF(D10=1,Barèmes!$E$24*C10,IF(D10=2,Barèmes!$F$24*C10,0)))</f>
        <v/>
      </c>
      <c r="R21" s="201" t="str">
        <f t="shared" ref="R21:R26" si="5">IF(A21="","",(C21+D21+E21+I21+J21+Q21))</f>
        <v/>
      </c>
    </row>
    <row r="22" spans="1:21" s="202" customFormat="1" x14ac:dyDescent="0.25">
      <c r="A22" s="32" t="str">
        <f t="shared" ref="A22:B26" si="6">A11</f>
        <v/>
      </c>
      <c r="B22" s="32" t="str">
        <f t="shared" si="6"/>
        <v/>
      </c>
      <c r="C22" s="201" t="str">
        <f>IF(B22="","",IF(H11="oui",IF(D11=1,C11*Barèmes!$E$13,IF(D11=2,C11*Barèmes!$F$13,0)),0))</f>
        <v/>
      </c>
      <c r="D22" s="275" t="str">
        <f>IF(B22="","",IF(D11=1,Barèmes!$E$14*C11,IF(D11=2,Barèmes!$F$14*C11,0)))</f>
        <v/>
      </c>
      <c r="E22" s="275" t="str">
        <f t="shared" ref="E22:E26" si="7">IF(B22="","",F22+G22+H22)</f>
        <v/>
      </c>
      <c r="F22" s="275" t="str">
        <f>IF(B22="","",IF(J11="oui",IF(D11=1,Barèmes!$E$16*K11,IF(D11=2,Barèmes!$F$16*K11,0)),"erreur"))</f>
        <v/>
      </c>
      <c r="G22" s="275" t="str">
        <f>IF(B22="","",IF(J11="oui",IF(D11=1,Barèmes!$E$17*L11,IF(D11=2,Barèmes!$F$17*L11,0)),"erreur"))</f>
        <v/>
      </c>
      <c r="H22" s="275" t="str">
        <f>IF(B22="","",IF(J11="oui",IF(D11=1,Barèmes!$E$15*M11,IF(D11=2,Barèmes!$F$15*M11,0)),"erreur"))</f>
        <v/>
      </c>
      <c r="I22" s="275" t="str">
        <f>IF(B22="","",IF(D11=1,Barèmes!$E$18*C11,IF(D11=2,Barèmes!$F$18*C11,0)))</f>
        <v/>
      </c>
      <c r="J22" s="275" t="str">
        <f t="shared" si="4"/>
        <v/>
      </c>
      <c r="K22" s="275" t="str">
        <f>IF(A22="","",IF(SYNTHESE!E40="oui",(L22*2)+(M22*2),(L22+M22)))</f>
        <v/>
      </c>
      <c r="L22" s="201" t="str">
        <f>IF(B22="","",IF(O11="oui",IF(SYNTHESE!I40="oui",IF(D11=1,C11*Barèmes!$E$19,IF(D11=2,C11*Barèmes!$F$19,0)),IF(SYNTHESE!I40="non",0))))</f>
        <v/>
      </c>
      <c r="M22" s="201" t="str">
        <f>IF(B22="","",IF(O11="oui",IF(SYNTHESE!J40="oui",IF(D11=1,C11*Barèmes!$E$20,IF(D11=2,C11*Barèmes!$F$20,0)),0)))</f>
        <v/>
      </c>
      <c r="N22" s="201"/>
      <c r="O22" s="203">
        <f>IF(A11=" "," ",IF(D11=1,Barèmes!$E$22*'calcul haies'!Q11,IF('calcul haies'!D11=2,Barèmes!$F$22*'calcul haies'!Q11,0)))</f>
        <v>0</v>
      </c>
      <c r="P22" s="203">
        <f>IF(B22=" "," ",IF(D11=1,Barèmes!$E$23*'calcul haies'!R11,IF(D11=2,Barèmes!$F$23*'calcul haies'!R11,0)))</f>
        <v>0</v>
      </c>
      <c r="Q22" s="201" t="str">
        <f>IF(B22="","",IF(D11=1,Barèmes!$E$24*C11,IF(D11=2,Barèmes!$F$24*C11,0)))</f>
        <v/>
      </c>
      <c r="R22" s="201" t="str">
        <f t="shared" si="5"/>
        <v/>
      </c>
    </row>
    <row r="23" spans="1:21" s="202" customFormat="1" x14ac:dyDescent="0.25">
      <c r="A23" s="32" t="str">
        <f t="shared" si="6"/>
        <v/>
      </c>
      <c r="B23" s="32" t="str">
        <f t="shared" si="6"/>
        <v/>
      </c>
      <c r="C23" s="201" t="str">
        <f>IF(B23="","",IF(H12="oui",IF(D12=1,C12*Barèmes!$E$13,IF(D12=2,C12*Barèmes!$F$13,0)),0))</f>
        <v/>
      </c>
      <c r="D23" s="275" t="str">
        <f>IF(B23="","",IF(D12=1,Barèmes!$E$14*C12,IF(D12=2,Barèmes!$F$14*C12,0)))</f>
        <v/>
      </c>
      <c r="E23" s="275" t="str">
        <f t="shared" si="7"/>
        <v/>
      </c>
      <c r="F23" s="275" t="str">
        <f>IF(B23="","",IF(J12="oui",IF(D12=1,Barèmes!$E$16*K12,IF(D12=2,Barèmes!$F$16*K12,0)),"erreur"))</f>
        <v/>
      </c>
      <c r="G23" s="275" t="str">
        <f>IF(B23="","",IF(J12="oui",IF(D12=1,Barèmes!$E$17*L12,IF(D12=2,Barèmes!$F$17*L12,0)),"erreur"))</f>
        <v/>
      </c>
      <c r="H23" s="275" t="str">
        <f>IF(B23="","",IF(J12="oui",IF(D12=1,Barèmes!$E$15*M12,IF(D12=2,Barèmes!$F$15*M12,0)),"erreur"))</f>
        <v/>
      </c>
      <c r="I23" s="275" t="str">
        <f>IF(B23="","",IF(D12=1,Barèmes!$E$18*C12,IF(D12=2,Barèmes!$F$18*C12,0)))</f>
        <v/>
      </c>
      <c r="J23" s="275" t="str">
        <f t="shared" si="4"/>
        <v/>
      </c>
      <c r="K23" s="275" t="str">
        <f>IF(A23="","",IF(SYNTHESE!E41="oui",(L23*2)+(M23*2),(L23+M23)))</f>
        <v/>
      </c>
      <c r="L23" s="201" t="str">
        <f>IF(B23="","",IF(O12="oui",IF(SYNTHESE!I41="oui",IF(D12=1,C12*Barèmes!$E$19,IF(D12=2,C12*Barèmes!$F$19,0)),IF(SYNTHESE!I41="non",0))))</f>
        <v/>
      </c>
      <c r="M23" s="201" t="str">
        <f>IF(B23="","",IF(O12="oui",IF(SYNTHESE!J41="oui",IF(D12=1,C12*Barèmes!$E$20,IF(D12=2,C12*Barèmes!$F$20,0)),0)))</f>
        <v/>
      </c>
      <c r="N23" s="201"/>
      <c r="O23" s="203">
        <f>IF(A12=" "," ",IF(D12=1,Barèmes!$E$22*'calcul haies'!Q12,IF('calcul haies'!D12=2,Barèmes!$F$22*'calcul haies'!Q12,0)))</f>
        <v>0</v>
      </c>
      <c r="P23" s="203">
        <f>IF(B23=" "," ",IF(D12=1,Barèmes!$E$23*'calcul haies'!R12,IF(D12=2,Barèmes!$F$23*'calcul haies'!R12,0)))</f>
        <v>0</v>
      </c>
      <c r="Q23" s="201" t="str">
        <f>IF(B23="","",IF(D12=1,Barèmes!$E$24*C12,IF(D12=2,Barèmes!$F$24*C12,0)))</f>
        <v/>
      </c>
      <c r="R23" s="276" t="str">
        <f t="shared" si="5"/>
        <v/>
      </c>
    </row>
    <row r="24" spans="1:21" s="202" customFormat="1" x14ac:dyDescent="0.25">
      <c r="A24" s="32" t="str">
        <f t="shared" si="6"/>
        <v/>
      </c>
      <c r="B24" s="32" t="str">
        <f t="shared" si="6"/>
        <v/>
      </c>
      <c r="C24" s="201" t="str">
        <f>IF(B24="","",IF(H13="oui",IF(D13=1,C13*Barèmes!$E$13,IF(D13=2,C13*Barèmes!$F$13,0)),0))</f>
        <v/>
      </c>
      <c r="D24" s="275" t="str">
        <f>IF(B24="","",IF(D13=1,Barèmes!$E$14*C13,IF(D13=2,Barèmes!$F$14*C13,0)))</f>
        <v/>
      </c>
      <c r="E24" s="275" t="str">
        <f t="shared" si="7"/>
        <v/>
      </c>
      <c r="F24" s="275" t="str">
        <f>IF(B24="","",IF(J13="oui",IF(D13=1,Barèmes!$E$16*K13,IF(D13=2,Barèmes!$F$16*K13,0)),"erreur"))</f>
        <v/>
      </c>
      <c r="G24" s="275" t="str">
        <f>IF(B24="","",IF(J13="oui",IF(D13=1,Barèmes!$E$17*L13,IF(D13=2,Barèmes!$F$17*L13,0)),"erreur"))</f>
        <v/>
      </c>
      <c r="H24" s="275" t="str">
        <f>IF(B24="","",IF(J13="oui",IF(D13=1,Barèmes!$E$15*M13,IF(D13=2,Barèmes!$F$15*M13,0)),"erreur"))</f>
        <v/>
      </c>
      <c r="I24" s="275" t="str">
        <f>IF(B24="","",IF(D13=1,Barèmes!$E$18*C13,IF(D13=2,Barèmes!$F$18*C13,0)))</f>
        <v/>
      </c>
      <c r="J24" s="275" t="str">
        <f t="shared" si="4"/>
        <v/>
      </c>
      <c r="K24" s="275" t="str">
        <f>IF(A24="","",IF(SYNTHESE!E42="oui",(L24*2)+(M24*2),(L24+M24)))</f>
        <v/>
      </c>
      <c r="L24" s="201" t="str">
        <f>IF(B24="","",IF(O13="oui",IF(SYNTHESE!I42="oui",IF(D13=1,C13*Barèmes!$E$19,IF(D13=2,C13*Barèmes!$F$19,0)),IF(SYNTHESE!I42="non",0))))</f>
        <v/>
      </c>
      <c r="M24" s="201" t="str">
        <f>IF(B24="","",IF(O13="oui",IF(SYNTHESE!J42="oui",IF(D13=1,C13*Barèmes!$E$20,IF(D13=2,C13*Barèmes!$F$20,0)),0)))</f>
        <v/>
      </c>
      <c r="N24" s="201"/>
      <c r="O24" s="203">
        <f>IF(A13=" "," ",IF(D13=1,Barèmes!$E$22*'calcul haies'!Q13,IF('calcul haies'!D13=2,Barèmes!$F$22*'calcul haies'!Q13,0)))</f>
        <v>0</v>
      </c>
      <c r="P24" s="203">
        <f>IF(B24=" "," ",IF(D13=1,Barèmes!$E$23*'calcul haies'!R13,IF(D13=2,Barèmes!$F$23*'calcul haies'!R13,0)))</f>
        <v>0</v>
      </c>
      <c r="Q24" s="201" t="str">
        <f>IF(B24="","",IF(D13=1,Barèmes!$E$24*C13,IF(D13=2,Barèmes!$F$24*C13,0)))</f>
        <v/>
      </c>
      <c r="R24" s="201" t="str">
        <f t="shared" si="5"/>
        <v/>
      </c>
    </row>
    <row r="25" spans="1:21" s="202" customFormat="1" x14ac:dyDescent="0.25">
      <c r="A25" s="32" t="str">
        <f t="shared" si="6"/>
        <v/>
      </c>
      <c r="B25" s="32" t="str">
        <f t="shared" si="6"/>
        <v/>
      </c>
      <c r="C25" s="201" t="str">
        <f>IF(B25="","",IF(H14="oui",IF(D14=1,C14*Barèmes!$E$13,IF(D14=2,C14*Barèmes!$F$13,0)),0))</f>
        <v/>
      </c>
      <c r="D25" s="275" t="str">
        <f>IF(B25="","",IF(D14=1,Barèmes!$E$14*C14,IF(D14=2,Barèmes!$F$14*C14,0)))</f>
        <v/>
      </c>
      <c r="E25" s="275" t="str">
        <f t="shared" si="7"/>
        <v/>
      </c>
      <c r="F25" s="275" t="str">
        <f>IF(B25="","",IF(J14="oui",IF(D14=1,Barèmes!$E$16*K14,IF(D14=2,Barèmes!$F$16*K14,0)),"erreur"))</f>
        <v/>
      </c>
      <c r="G25" s="275" t="str">
        <f>IF(B25="","",IF(J14="oui",IF(D14=1,Barèmes!$E$17*L14,IF(D14=2,Barèmes!$F$17*L14,0)),"erreur"))</f>
        <v/>
      </c>
      <c r="H25" s="275" t="str">
        <f>IF(B25="","",IF(J14="oui",IF(D14=1,Barèmes!$E$15*M14,IF(D14=2,Barèmes!$F$15*M14,0)),"erreur"))</f>
        <v/>
      </c>
      <c r="I25" s="275" t="str">
        <f>IF(B25="","",IF(D14=1,Barèmes!$E$18*C14,IF(D14=2,Barèmes!$F$18*C14,0)))</f>
        <v/>
      </c>
      <c r="J25" s="275" t="str">
        <f t="shared" si="4"/>
        <v/>
      </c>
      <c r="K25" s="275" t="str">
        <f>IF(A25="","",IF(SYNTHESE!E43="oui",(L25*2)+(M25*2),(L25+M25)))</f>
        <v/>
      </c>
      <c r="L25" s="201" t="str">
        <f>IF(B25="","",IF(O14="oui",IF(SYNTHESE!I43="oui",IF(D14=1,C14*Barèmes!$E$19,IF(D14=2,C14*Barèmes!$F$19,0)),IF(SYNTHESE!I43="non",0))))</f>
        <v/>
      </c>
      <c r="M25" s="201" t="str">
        <f>IF(B25="","",IF(O14="oui",IF(SYNTHESE!J43="oui",IF(D14=1,C14*Barèmes!$E$20,IF(D14=2,C14*Barèmes!$F$20,0)),0)))</f>
        <v/>
      </c>
      <c r="N25" s="201"/>
      <c r="O25" s="203">
        <f>IF(A14=" "," ",IF(D14=1,Barèmes!$E$22*'calcul haies'!Q14,IF('calcul haies'!D14=2,Barèmes!$F$22*'calcul haies'!Q14,0)))</f>
        <v>0</v>
      </c>
      <c r="P25" s="203">
        <f>IF(B25=" "," ",IF(D14=1,Barèmes!$E$23*'calcul haies'!R14,IF(D14=2,Barèmes!$F$23*'calcul haies'!R14,0)))</f>
        <v>0</v>
      </c>
      <c r="Q25" s="201" t="str">
        <f>IF(B25="","",IF(D14=1,Barèmes!$E$24*C14,IF(D14=2,Barèmes!$F$24*C14,0)))</f>
        <v/>
      </c>
      <c r="R25" s="201" t="str">
        <f t="shared" si="5"/>
        <v/>
      </c>
    </row>
    <row r="26" spans="1:21" s="202" customFormat="1" ht="15.75" thickBot="1" x14ac:dyDescent="0.3">
      <c r="A26" s="32" t="str">
        <f t="shared" si="6"/>
        <v/>
      </c>
      <c r="B26" s="32" t="str">
        <f t="shared" si="6"/>
        <v/>
      </c>
      <c r="C26" s="201" t="str">
        <f>IF(B26="","",IF(H15="oui",IF(D15=1,C15*Barèmes!$E$13,IF(D15=2,C15*Barèmes!$F$13,0)),0))</f>
        <v/>
      </c>
      <c r="D26" s="275" t="str">
        <f>IF(B26="","",IF(D15=1,Barèmes!$E$14*C15,IF(D15=2,Barèmes!$F$14*C15,0)))</f>
        <v/>
      </c>
      <c r="E26" s="275" t="str">
        <f t="shared" si="7"/>
        <v/>
      </c>
      <c r="F26" s="275" t="str">
        <f>IF(B26="","",IF(J15="oui",IF(D15=1,Barèmes!$E$16*K15,IF(D15=2,Barèmes!$F$16*K15,0)),"erreur"))</f>
        <v/>
      </c>
      <c r="G26" s="275" t="str">
        <f>IF(B26="","",IF(J15="oui",IF(D15=1,Barèmes!$E$17*L15,IF(D15=2,Barèmes!$F$17*L15,0)),"erreur"))</f>
        <v/>
      </c>
      <c r="H26" s="275" t="str">
        <f>IF(B26="","",IF(J15="oui",IF(D15=1,Barèmes!$E$15*M15,IF(D15=2,Barèmes!$F$15*M15,0)),"erreur"))</f>
        <v/>
      </c>
      <c r="I26" s="275" t="str">
        <f>IF(B26="","",IF(D15=1,Barèmes!$E$18*C15,IF(D15=2,Barèmes!$F$18*C15,0)))</f>
        <v/>
      </c>
      <c r="J26" s="275" t="str">
        <f t="shared" si="4"/>
        <v/>
      </c>
      <c r="K26" s="275" t="str">
        <f>IF(A26="","",IF(SYNTHESE!E44="oui",(L26*2)+(M26*2),(L26+M26)))</f>
        <v/>
      </c>
      <c r="L26" s="201" t="str">
        <f>IF(B26="","",IF(O15="oui",IF(SYNTHESE!I44="oui",IF(D15=1,C15*Barèmes!$E$19,IF(D15=2,C15*Barèmes!$F$19,0)),IF(SYNTHESE!I44="non",0))))</f>
        <v/>
      </c>
      <c r="M26" s="201" t="str">
        <f>IF(B26="","",IF(O15="oui",IF(SYNTHESE!J44="oui",IF(D15=1,C15*Barèmes!$E$20,IF(D15=2,C15*Barèmes!$F$20,0)),0)))</f>
        <v/>
      </c>
      <c r="N26" s="201"/>
      <c r="O26" s="203">
        <f>IF(A15=" "," ",IF(D15=1,Barèmes!$E$22*'calcul haies'!Q15,IF('calcul haies'!D15=2,Barèmes!$F$22*'calcul haies'!Q15,0)))</f>
        <v>0</v>
      </c>
      <c r="P26" s="203">
        <f>IF(B26=" "," ",IF(D15=1,Barèmes!$E$23*'calcul haies'!R15,IF(D15=2,Barèmes!$F$23*'calcul haies'!R15,0)))</f>
        <v>0</v>
      </c>
      <c r="Q26" s="201" t="str">
        <f>IF(B26="","",IF(D15=1,Barèmes!$E$24*C15,IF(D15=2,Barèmes!$F$24*C15,0)))</f>
        <v/>
      </c>
      <c r="R26" s="201" t="str">
        <f t="shared" si="5"/>
        <v/>
      </c>
    </row>
    <row r="27" spans="1:21" ht="15.75" thickBot="1" x14ac:dyDescent="0.3">
      <c r="M27" s="229"/>
      <c r="N27" s="319"/>
      <c r="R27" s="40">
        <f>SUM(R21:R26)</f>
        <v>0</v>
      </c>
    </row>
    <row r="29" spans="1:21" x14ac:dyDescent="0.25">
      <c r="N29" s="321"/>
      <c r="O29" s="325"/>
    </row>
    <row r="30" spans="1:21" x14ac:dyDescent="0.25">
      <c r="D30" s="267"/>
    </row>
    <row r="31" spans="1:21" x14ac:dyDescent="0.25">
      <c r="D31" s="273"/>
    </row>
    <row r="33" spans="1:3" x14ac:dyDescent="0.25">
      <c r="A33" t="s">
        <v>48</v>
      </c>
    </row>
    <row r="34" spans="1:3" x14ac:dyDescent="0.25">
      <c r="A34" t="s">
        <v>49</v>
      </c>
      <c r="B34">
        <v>1</v>
      </c>
      <c r="C34" t="s">
        <v>49</v>
      </c>
    </row>
    <row r="35" spans="1:3" x14ac:dyDescent="0.25">
      <c r="A35" t="s">
        <v>50</v>
      </c>
      <c r="B35">
        <v>2</v>
      </c>
      <c r="C35" t="s">
        <v>50</v>
      </c>
    </row>
    <row r="38" spans="1:3" x14ac:dyDescent="0.25">
      <c r="A38" t="s">
        <v>124</v>
      </c>
    </row>
    <row r="39" spans="1:3" x14ac:dyDescent="0.25">
      <c r="A39" t="s">
        <v>125</v>
      </c>
    </row>
    <row r="40" spans="1:3" x14ac:dyDescent="0.25">
      <c r="A40" t="s">
        <v>50</v>
      </c>
    </row>
  </sheetData>
  <sheetProtection algorithmName="SHA-512" hashValue="5uKcteIh3vzvRr6BnNMCzQKOfkdQLepHhhfO54jh9lks7L6he3sF0UOgy5GTLObGuwEAniIs2cNBO46Jg7Wusw==" saltValue="I/NH6OsBy8txiEVDkALBFA==" spinCount="100000" sheet="1" objects="1" scenarios="1" selectLockedCells="1" selectUnlockedCells="1"/>
  <mergeCells count="21">
    <mergeCell ref="A19:B19"/>
    <mergeCell ref="I19:I20"/>
    <mergeCell ref="Q19:Q20"/>
    <mergeCell ref="O8:O9"/>
    <mergeCell ref="A8:B8"/>
    <mergeCell ref="N8:N9"/>
    <mergeCell ref="D19:D20"/>
    <mergeCell ref="C19:C20"/>
    <mergeCell ref="E19:H19"/>
    <mergeCell ref="I8:I9"/>
    <mergeCell ref="H8:H9"/>
    <mergeCell ref="C8:G8"/>
    <mergeCell ref="J8:M8"/>
    <mergeCell ref="J19:P19"/>
    <mergeCell ref="R8:R9"/>
    <mergeCell ref="S8:S9"/>
    <mergeCell ref="R19:R20"/>
    <mergeCell ref="P8:P9"/>
    <mergeCell ref="Q8:Q9"/>
    <mergeCell ref="S20:U20"/>
    <mergeCell ref="T8:T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R32"/>
  <sheetViews>
    <sheetView showGridLines="0" zoomScale="55" zoomScaleNormal="55" workbookViewId="0">
      <selection activeCell="S46" sqref="S46"/>
    </sheetView>
  </sheetViews>
  <sheetFormatPr baseColWidth="10" defaultRowHeight="15" x14ac:dyDescent="0.25"/>
  <cols>
    <col min="1" max="1" width="16.5703125" customWidth="1"/>
    <col min="2" max="2" width="15.85546875" customWidth="1"/>
    <col min="4" max="6" width="14.42578125" customWidth="1"/>
    <col min="7" max="7" width="17.42578125" customWidth="1"/>
    <col min="8" max="8" width="16.42578125" customWidth="1"/>
    <col min="9" max="9" width="16" customWidth="1"/>
    <col min="10" max="10" width="20.28515625" customWidth="1"/>
    <col min="11" max="11" width="18.42578125" customWidth="1"/>
    <col min="12" max="12" width="18.140625" customWidth="1"/>
    <col min="13" max="13" width="18" customWidth="1"/>
    <col min="14" max="14" width="18.140625" customWidth="1"/>
    <col min="15" max="15" width="19.42578125" customWidth="1"/>
    <col min="16" max="16" width="17.140625" customWidth="1"/>
    <col min="17" max="17" width="16.140625" customWidth="1"/>
  </cols>
  <sheetData>
    <row r="2" spans="1:13" ht="26.25" x14ac:dyDescent="0.25">
      <c r="A2" s="7" t="s">
        <v>199</v>
      </c>
    </row>
    <row r="3" spans="1:13" ht="18.75" x14ac:dyDescent="0.25">
      <c r="A3" s="8" t="s">
        <v>15</v>
      </c>
    </row>
    <row r="4" spans="1:13" ht="18.75" x14ac:dyDescent="0.25">
      <c r="A4" s="8" t="s">
        <v>71</v>
      </c>
    </row>
    <row r="8" spans="1:13" ht="32.1" customHeight="1" x14ac:dyDescent="0.25">
      <c r="A8" s="473" t="s">
        <v>29</v>
      </c>
      <c r="B8" s="473"/>
      <c r="C8" s="475" t="s">
        <v>30</v>
      </c>
      <c r="D8" s="482"/>
      <c r="E8" s="483"/>
      <c r="F8" s="466" t="s">
        <v>55</v>
      </c>
      <c r="G8" s="466" t="s">
        <v>258</v>
      </c>
      <c r="H8" s="466" t="s">
        <v>59</v>
      </c>
      <c r="I8" s="466" t="s">
        <v>286</v>
      </c>
      <c r="J8" s="466" t="s">
        <v>285</v>
      </c>
      <c r="K8" s="466" t="s">
        <v>218</v>
      </c>
      <c r="L8" s="466" t="s">
        <v>233</v>
      </c>
      <c r="M8" s="285" t="s">
        <v>75</v>
      </c>
    </row>
    <row r="9" spans="1:13" ht="30" x14ac:dyDescent="0.25">
      <c r="A9" s="58" t="s">
        <v>81</v>
      </c>
      <c r="B9" s="58" t="s">
        <v>82</v>
      </c>
      <c r="C9" s="168" t="s">
        <v>224</v>
      </c>
      <c r="D9" s="168" t="s">
        <v>226</v>
      </c>
      <c r="E9" s="168" t="s">
        <v>225</v>
      </c>
      <c r="F9" s="467"/>
      <c r="G9" s="467"/>
      <c r="H9" s="467"/>
      <c r="I9" s="467"/>
      <c r="J9" s="467"/>
      <c r="K9" s="467"/>
      <c r="L9" s="467"/>
      <c r="M9" s="285"/>
    </row>
    <row r="10" spans="1:13" x14ac:dyDescent="0.25">
      <c r="A10" s="31" t="str">
        <f>IF(SYNTHESE!A55="","",SYNTHESE!A55)</f>
        <v/>
      </c>
      <c r="B10" s="31" t="str">
        <f>IF(SYNTHESE!B55="","",SYNTHESE!B55)</f>
        <v/>
      </c>
      <c r="C10" s="31" t="str">
        <f>IF(SYNTHESE!B55="","",SYNTHESE!C55)</f>
        <v/>
      </c>
      <c r="D10" s="32" t="str">
        <f>IF(A10="","",SYNTHESE!D55)</f>
        <v/>
      </c>
      <c r="E10" s="32" t="str">
        <f>IF(A10="","",SYNTHESE!E55)</f>
        <v/>
      </c>
      <c r="F10" s="32" t="str">
        <f>IF(A10="","","oui")</f>
        <v/>
      </c>
      <c r="G10" s="144" t="str">
        <f>IF(A10="","",IF(((SYNTHESE!F55+SYNTHESE!G55+SYNTHESE!H55+SYNTHESE!I55)/(SYNTHESE!D55+SYNTHESE!E55))&lt;0.5,"erreurVL","oui"))</f>
        <v/>
      </c>
      <c r="H10" s="32" t="str">
        <f>IF(B10="","","oui")</f>
        <v/>
      </c>
      <c r="I10" s="32" t="str">
        <f>IF(A10="","",IF(SYNTHESE!J55="oui","oui",IF(SYNTHESE!K55="oui","oui","erreur")))</f>
        <v/>
      </c>
      <c r="J10" s="32" t="str">
        <f>IF(A10="","",SYNTHESE!J55)</f>
        <v/>
      </c>
      <c r="K10" s="32" t="str">
        <f>IF(B10="","",SYNTHESE!K55)</f>
        <v/>
      </c>
      <c r="L10" s="33" t="str">
        <f>IF(B10="","",IF(SYNTHESE!K55="oui",((SYNTHESE!D55+SYNTHESE!E55)*SYNTHESE!L55),0))</f>
        <v/>
      </c>
      <c r="M10" s="32" t="str">
        <f>IF(B10="","","oui")</f>
        <v/>
      </c>
    </row>
    <row r="11" spans="1:13" x14ac:dyDescent="0.25">
      <c r="A11" s="31" t="str">
        <f>IF(SYNTHESE!A56="","",SYNTHESE!A56)</f>
        <v/>
      </c>
      <c r="B11" s="31" t="str">
        <f>IF(SYNTHESE!B56="","",SYNTHESE!B56)</f>
        <v/>
      </c>
      <c r="C11" s="31" t="str">
        <f>IF(SYNTHESE!C56="","",SYNTHESE!C56)</f>
        <v/>
      </c>
      <c r="D11" s="32" t="str">
        <f>IF(A11="","",SYNTHESE!D56)</f>
        <v/>
      </c>
      <c r="E11" s="32" t="str">
        <f>IF(A11="","",SYNTHESE!E56)</f>
        <v/>
      </c>
      <c r="F11" s="32" t="str">
        <f>IF(A11="","","oui")</f>
        <v/>
      </c>
      <c r="G11" s="144" t="str">
        <f>IF(A11="","",IF(((SYNTHESE!F56+SYNTHESE!G56+SYNTHESE!H56+SYNTHESE!I56)/(SYNTHESE!D56+SYNTHESE!E56))&lt;0.5,"erreurVL","oui"))</f>
        <v/>
      </c>
      <c r="H11" s="32" t="str">
        <f>IF(B11="","","oui")</f>
        <v/>
      </c>
      <c r="I11" s="32" t="str">
        <f>IF(A11="","",IF(SYNTHESE!J56="oui","oui",IF(SYNTHESE!K56="oui","oui","erreur")))</f>
        <v/>
      </c>
      <c r="J11" s="32" t="str">
        <f>IF(A11="","",SYNTHESE!J56)</f>
        <v/>
      </c>
      <c r="K11" s="32" t="str">
        <f>IF(B11="","",SYNTHESE!K56)</f>
        <v/>
      </c>
      <c r="L11" s="33" t="str">
        <f>IF(B11="","",IF(SYNTHESE!K56="oui",((SYNTHESE!D56+SYNTHESE!E56)*SYNTHESE!L56),0))</f>
        <v/>
      </c>
      <c r="M11" s="32" t="str">
        <f>IF(B11="","","oui")</f>
        <v/>
      </c>
    </row>
    <row r="12" spans="1:13" x14ac:dyDescent="0.25">
      <c r="A12" s="31" t="str">
        <f>IF(SYNTHESE!A57="","",SYNTHESE!A57)</f>
        <v/>
      </c>
      <c r="B12" s="31" t="str">
        <f>IF(SYNTHESE!B57="","",SYNTHESE!B57)</f>
        <v/>
      </c>
      <c r="C12" s="31" t="str">
        <f>IF(SYNTHESE!C57="","",SYNTHESE!C57)</f>
        <v/>
      </c>
      <c r="D12" s="32" t="str">
        <f>IF(A12="","",SYNTHESE!D57)</f>
        <v/>
      </c>
      <c r="E12" s="32" t="str">
        <f>IF(A12="","",SYNTHESE!E57)</f>
        <v/>
      </c>
      <c r="F12" s="32" t="str">
        <f>IF(A12="","","oui")</f>
        <v/>
      </c>
      <c r="G12" s="144" t="str">
        <f>IF(A12="","",IF(((SYNTHESE!F57+SYNTHESE!G57+SYNTHESE!H57+SYNTHESE!I57)/(SYNTHESE!D57+SYNTHESE!E57))&lt;0.5,"erreurVL","oui"))</f>
        <v/>
      </c>
      <c r="H12" s="32" t="str">
        <f>IF(B12="","","oui")</f>
        <v/>
      </c>
      <c r="I12" s="32" t="str">
        <f>IF(A12="","",IF(SYNTHESE!J57="oui","oui",IF(SYNTHESE!K57="oui","oui","erreur")))</f>
        <v/>
      </c>
      <c r="J12" s="32" t="str">
        <f>IF(A12="","",SYNTHESE!J57)</f>
        <v/>
      </c>
      <c r="K12" s="32" t="str">
        <f>IF(B12="","",SYNTHESE!K57)</f>
        <v/>
      </c>
      <c r="L12" s="33" t="str">
        <f>IF(B12="","",IF(SYNTHESE!K57="oui",((SYNTHESE!D57+SYNTHESE!E57)*SYNTHESE!L57),0))</f>
        <v/>
      </c>
      <c r="M12" s="32" t="str">
        <f>IF(B12="","","oui")</f>
        <v/>
      </c>
    </row>
    <row r="13" spans="1:13" x14ac:dyDescent="0.25">
      <c r="A13" s="31" t="str">
        <f>IF(SYNTHESE!A58="","",SYNTHESE!A58)</f>
        <v/>
      </c>
      <c r="B13" s="31" t="str">
        <f>IF(SYNTHESE!B58="","",SYNTHESE!B58)</f>
        <v/>
      </c>
      <c r="C13" s="31" t="str">
        <f>IF(SYNTHESE!C58="","",SYNTHESE!C58)</f>
        <v/>
      </c>
      <c r="D13" s="32" t="str">
        <f>IF(A13="","",SYNTHESE!D58)</f>
        <v/>
      </c>
      <c r="E13" s="32" t="str">
        <f>IF(A13="","",SYNTHESE!E58)</f>
        <v/>
      </c>
      <c r="F13" s="32" t="str">
        <f>IF(A13="","","oui")</f>
        <v/>
      </c>
      <c r="G13" s="144" t="str">
        <f>IF(A13="","",IF(((SYNTHESE!F58+SYNTHESE!G58+SYNTHESE!H58+SYNTHESE!I58)/(SYNTHESE!D58+SYNTHESE!E58))&lt;0.5,"erreurVL","oui"))</f>
        <v/>
      </c>
      <c r="H13" s="32" t="str">
        <f>IF(B13="","","oui")</f>
        <v/>
      </c>
      <c r="I13" s="32" t="str">
        <f>IF(A13="","",IF(SYNTHESE!J58="oui","oui",IF(SYNTHESE!K58="oui","oui","erreur")))</f>
        <v/>
      </c>
      <c r="J13" s="32" t="str">
        <f>IF(A13="","",SYNTHESE!J58)</f>
        <v/>
      </c>
      <c r="K13" s="32" t="str">
        <f>IF(B13="","",SYNTHESE!K58)</f>
        <v/>
      </c>
      <c r="L13" s="33" t="str">
        <f>IF(B13="","",IF(SYNTHESE!K58="oui",((SYNTHESE!D58+SYNTHESE!E58)*SYNTHESE!L58),0))</f>
        <v/>
      </c>
      <c r="M13" s="32" t="str">
        <f>IF(B13="","","oui")</f>
        <v/>
      </c>
    </row>
    <row r="14" spans="1:13" x14ac:dyDescent="0.25">
      <c r="A14" s="31" t="str">
        <f>IF(SYNTHESE!A59="","",SYNTHESE!A59)</f>
        <v/>
      </c>
      <c r="B14" s="31" t="str">
        <f>IF(SYNTHESE!B59="","",SYNTHESE!B59)</f>
        <v/>
      </c>
      <c r="C14" s="31" t="str">
        <f>IF(SYNTHESE!C59="","",SYNTHESE!C59)</f>
        <v/>
      </c>
      <c r="D14" s="32" t="str">
        <f>IF(A14="","",SYNTHESE!D59)</f>
        <v/>
      </c>
      <c r="E14" s="32" t="str">
        <f>IF(A14="","",SYNTHESE!E59)</f>
        <v/>
      </c>
      <c r="F14" s="32" t="str">
        <f>IF(A14="","","oui")</f>
        <v/>
      </c>
      <c r="G14" s="144" t="str">
        <f>IF(A14="","",IF(((SYNTHESE!F59+SYNTHESE!G59+SYNTHESE!H59+SYNTHESE!I59)/(SYNTHESE!D59+SYNTHESE!E59))&lt;0.5,"erreurVL","oui"))</f>
        <v/>
      </c>
      <c r="H14" s="32" t="str">
        <f>IF(B14="","","oui")</f>
        <v/>
      </c>
      <c r="I14" s="32" t="str">
        <f>IF(A14="","",IF(SYNTHESE!J59="oui","oui",IF(SYNTHESE!K59="oui","oui","erreur")))</f>
        <v/>
      </c>
      <c r="J14" s="32" t="str">
        <f>IF(A14="","",SYNTHESE!J59)</f>
        <v/>
      </c>
      <c r="K14" s="32" t="str">
        <f>IF(B14="","",SYNTHESE!K59)</f>
        <v/>
      </c>
      <c r="L14" s="33" t="str">
        <f>IF(B14="","",IF(SYNTHESE!K59="oui",((SYNTHESE!D59+SYNTHESE!E59)*SYNTHESE!L59),0))</f>
        <v/>
      </c>
      <c r="M14" s="32" t="str">
        <f>IF(B14="","","oui")</f>
        <v/>
      </c>
    </row>
    <row r="16" spans="1:13" x14ac:dyDescent="0.25">
      <c r="A16" s="38" t="s">
        <v>63</v>
      </c>
      <c r="C16" s="257"/>
    </row>
    <row r="17" spans="1:18" x14ac:dyDescent="0.25">
      <c r="P17" s="257"/>
      <c r="Q17" s="257"/>
    </row>
    <row r="18" spans="1:18" ht="36" customHeight="1" x14ac:dyDescent="0.25">
      <c r="A18" s="473" t="s">
        <v>29</v>
      </c>
      <c r="B18" s="473"/>
      <c r="C18" s="468" t="s">
        <v>55</v>
      </c>
      <c r="D18" s="468"/>
      <c r="E18" s="468" t="s">
        <v>235</v>
      </c>
      <c r="F18" s="468"/>
      <c r="G18" s="468"/>
      <c r="H18" s="468"/>
      <c r="I18" s="475" t="s">
        <v>236</v>
      </c>
      <c r="J18" s="476"/>
      <c r="K18" s="476"/>
      <c r="L18" s="477"/>
      <c r="M18" s="468" t="s">
        <v>59</v>
      </c>
      <c r="N18" s="466" t="s">
        <v>74</v>
      </c>
      <c r="O18" s="468" t="s">
        <v>76</v>
      </c>
      <c r="P18" s="466" t="s">
        <v>60</v>
      </c>
      <c r="Q18" s="469" t="s">
        <v>69</v>
      </c>
      <c r="R18" s="257"/>
    </row>
    <row r="19" spans="1:18" ht="30" x14ac:dyDescent="0.25">
      <c r="A19" s="192" t="s">
        <v>51</v>
      </c>
      <c r="B19" s="192" t="s">
        <v>52</v>
      </c>
      <c r="C19" s="468"/>
      <c r="D19" s="468"/>
      <c r="E19" s="192" t="s">
        <v>240</v>
      </c>
      <c r="F19" s="192" t="s">
        <v>241</v>
      </c>
      <c r="G19" s="192" t="s">
        <v>242</v>
      </c>
      <c r="H19" s="192" t="s">
        <v>243</v>
      </c>
      <c r="I19" s="192" t="s">
        <v>237</v>
      </c>
      <c r="J19" s="192" t="s">
        <v>238</v>
      </c>
      <c r="K19" s="192" t="s">
        <v>227</v>
      </c>
      <c r="L19" s="192" t="s">
        <v>239</v>
      </c>
      <c r="M19" s="468"/>
      <c r="N19" s="467"/>
      <c r="O19" s="468"/>
      <c r="P19" s="467"/>
      <c r="Q19" s="469"/>
    </row>
    <row r="20" spans="1:18" x14ac:dyDescent="0.25">
      <c r="A20" s="32" t="str">
        <f t="shared" ref="A20:B23" si="0">A10</f>
        <v/>
      </c>
      <c r="B20" s="32" t="str">
        <f t="shared" si="0"/>
        <v/>
      </c>
      <c r="C20" s="484" t="str">
        <f>IF(B20="","",Barèmes!$E$32*('calcul AIP'!D10+E10))</f>
        <v/>
      </c>
      <c r="D20" s="484"/>
      <c r="E20" s="35" t="str">
        <f>IF(A20="","",IF(G10="oui",F20+G20+H20,"erreurVL"))</f>
        <v/>
      </c>
      <c r="F20" s="35" t="str">
        <f>IF(A20="","",Barèmes!$E$34*SYNTHESE!F55)</f>
        <v/>
      </c>
      <c r="G20" s="35" t="str">
        <f>IF(A20="","",Barèmes!$E$35*SYNTHESE!G55)</f>
        <v/>
      </c>
      <c r="H20" s="35" t="str">
        <f>IF(A20="","",(D10-SYNTHESE!F55-SYNTHESE!G55)*Barèmes!$E$33)</f>
        <v/>
      </c>
      <c r="I20" s="35" t="str">
        <f>IF(A20="","",IF(G10="oui",20+K20+L20,"erreurVL"))</f>
        <v/>
      </c>
      <c r="J20" s="35" t="str">
        <f>IF(A20="","",Barèmes!$E$37*SYNTHESE!H55)</f>
        <v/>
      </c>
      <c r="K20" s="35" t="str">
        <f>IF(A20="","",Barèmes!$E$38*SYNTHESE!I55)</f>
        <v/>
      </c>
      <c r="L20" s="35" t="str">
        <f>IF(A20="","",(SYNTHESE!E55-SYNTHESE!H55-SYNTHESE!I55)*Barèmes!$E$36)</f>
        <v/>
      </c>
      <c r="M20" s="35" t="str">
        <f>IF(B20="","",Barèmes!$E$39*(SYNTHESE!D55+SYNTHESE!E55))</f>
        <v/>
      </c>
      <c r="N20" s="286" t="str">
        <f>IF(A20="","",IF(I10="oui",IF(J10="oui",Barèmes!$E$41*(SYNTHESE!D55+SYNTHESE!E55),"0")))</f>
        <v/>
      </c>
      <c r="O20" s="35" t="str">
        <f>IF(A20="","",IF(I10="oui",(L10*Barèmes!$E$40),"erreur"))</f>
        <v/>
      </c>
      <c r="P20" s="216" t="str">
        <f>IF(A20="","",Barèmes!$E$42*SYNTHESE!D55)</f>
        <v/>
      </c>
      <c r="Q20" s="327" t="str">
        <f>IF(B20="","",IF(SYNTHESE!D55&gt;=5,(C20+E20+I20+M20+N20+O20+P20),"erreur"))</f>
        <v/>
      </c>
    </row>
    <row r="21" spans="1:18" x14ac:dyDescent="0.25">
      <c r="A21" s="32" t="str">
        <f t="shared" si="0"/>
        <v/>
      </c>
      <c r="B21" s="32" t="str">
        <f t="shared" si="0"/>
        <v/>
      </c>
      <c r="C21" s="484" t="str">
        <f>IF(B21="","",Barèmes!$E$32*('calcul AIP'!D11+E11))</f>
        <v/>
      </c>
      <c r="D21" s="484"/>
      <c r="E21" s="35" t="str">
        <f t="shared" ref="E21:E25" si="1">IF(A21="","",IF(G11="oui",F21+G21+H21,"erreurVL"))</f>
        <v/>
      </c>
      <c r="F21" s="35" t="str">
        <f>IF(A21="","",Barèmes!$E$34*SYNTHESE!F56)</f>
        <v/>
      </c>
      <c r="G21" s="35" t="str">
        <f>IF(A21="","",Barèmes!$E$35*SYNTHESE!G56)</f>
        <v/>
      </c>
      <c r="H21" s="35" t="str">
        <f>IF(A21="","",(D11-SYNTHESE!F56-SYNTHESE!G56)*Barèmes!$E$33)</f>
        <v/>
      </c>
      <c r="I21" s="35" t="str">
        <f t="shared" ref="I21:I25" si="2">IF(A21="","",IF(G11="oui",20+K21+L21,"erreurVL"))</f>
        <v/>
      </c>
      <c r="J21" s="35" t="str">
        <f>IF(A21="","",Barèmes!$E$37*SYNTHESE!H56)</f>
        <v/>
      </c>
      <c r="K21" s="35" t="str">
        <f>IF(A21="","",Barèmes!$E$38*SYNTHESE!I56)</f>
        <v/>
      </c>
      <c r="L21" s="35" t="str">
        <f>IF(A21="","",(SYNTHESE!E56-SYNTHESE!H56-SYNTHESE!I56)*Barèmes!$E$36)</f>
        <v/>
      </c>
      <c r="M21" s="35" t="str">
        <f>IF(B21="","",Barèmes!$E$39*(SYNTHESE!D56+SYNTHESE!E56))</f>
        <v/>
      </c>
      <c r="N21" s="286" t="str">
        <f>IF(A21="","",IF(I11="oui",IF(J11="oui",Barèmes!$E$41*(SYNTHESE!D56+SYNTHESE!E56),"0")))</f>
        <v/>
      </c>
      <c r="O21" s="35" t="str">
        <f>IF(A21="","",IF(I11="oui",(L11*Barèmes!$E$40),"erreur"))</f>
        <v/>
      </c>
      <c r="P21" s="216" t="str">
        <f>IF(A21="","",Barèmes!$E$42*SYNTHESE!D56)</f>
        <v/>
      </c>
      <c r="Q21" s="217" t="str">
        <f>IF(B21="","",IF(SYNTHESE!D56&gt;=5,(C21+E21+I21+M21+N21+O21+P21),"erreur"))</f>
        <v/>
      </c>
    </row>
    <row r="22" spans="1:18" x14ac:dyDescent="0.25">
      <c r="A22" s="32" t="str">
        <f t="shared" si="0"/>
        <v/>
      </c>
      <c r="B22" s="32" t="str">
        <f t="shared" si="0"/>
        <v/>
      </c>
      <c r="C22" s="484" t="str">
        <f>IF(B22="","",Barèmes!$E$32*('calcul AIP'!D12+E12))</f>
        <v/>
      </c>
      <c r="D22" s="484"/>
      <c r="E22" s="35" t="str">
        <f t="shared" si="1"/>
        <v/>
      </c>
      <c r="F22" s="35" t="str">
        <f>IF(A22="","",Barèmes!$E$34*SYNTHESE!F57)</f>
        <v/>
      </c>
      <c r="G22" s="35" t="str">
        <f>IF(A22="","",Barèmes!$E$35*SYNTHESE!G57)</f>
        <v/>
      </c>
      <c r="H22" s="35" t="str">
        <f>IF(A22="","",(D12-SYNTHESE!F57-SYNTHESE!G57)*Barèmes!$E$33)</f>
        <v/>
      </c>
      <c r="I22" s="35" t="str">
        <f t="shared" si="2"/>
        <v/>
      </c>
      <c r="J22" s="35" t="str">
        <f>IF(A22="","",Barèmes!$E$37*SYNTHESE!H57)</f>
        <v/>
      </c>
      <c r="K22" s="35" t="str">
        <f>IF(A22="","",Barèmes!$E$38*SYNTHESE!I57)</f>
        <v/>
      </c>
      <c r="L22" s="35" t="str">
        <f>IF(A22="","",(SYNTHESE!E57-SYNTHESE!H57-SYNTHESE!I57)*Barèmes!$E$36)</f>
        <v/>
      </c>
      <c r="M22" s="35" t="str">
        <f>IF(B22="","",Barèmes!$E$39*(SYNTHESE!D57+SYNTHESE!E57))</f>
        <v/>
      </c>
      <c r="N22" s="286" t="str">
        <f>IF(A22="","",IF(I12="oui",IF(J12="oui",Barèmes!$E$41*(SYNTHESE!D57+SYNTHESE!E57),"0")))</f>
        <v/>
      </c>
      <c r="O22" s="35" t="str">
        <f>IF(A22="","",IF(I12="oui",(L12*Barèmes!$E$40),"erreur"))</f>
        <v/>
      </c>
      <c r="P22" s="216" t="str">
        <f>IF(A22="","",Barèmes!$E$42*SYNTHESE!D57)</f>
        <v/>
      </c>
      <c r="Q22" s="217" t="str">
        <f>IF(B22="","",IF(SYNTHESE!D57&gt;=5,(C22+E22+I22+M22+N22+O22+P22),"erreur"))</f>
        <v/>
      </c>
    </row>
    <row r="23" spans="1:18" x14ac:dyDescent="0.25">
      <c r="A23" s="32" t="str">
        <f t="shared" si="0"/>
        <v/>
      </c>
      <c r="B23" s="32" t="str">
        <f t="shared" si="0"/>
        <v/>
      </c>
      <c r="C23" s="484" t="str">
        <f>IF(B23="","",Barèmes!$E$32*('calcul AIP'!D13+E13))</f>
        <v/>
      </c>
      <c r="D23" s="484"/>
      <c r="E23" s="35" t="str">
        <f t="shared" si="1"/>
        <v/>
      </c>
      <c r="F23" s="35" t="str">
        <f>IF(A23="","",Barèmes!$E$34*SYNTHESE!F58)</f>
        <v/>
      </c>
      <c r="G23" s="35" t="str">
        <f>IF(A23="","",Barèmes!$E$35*SYNTHESE!G58)</f>
        <v/>
      </c>
      <c r="H23" s="35" t="str">
        <f>IF(A23="","",(D13-SYNTHESE!F58-SYNTHESE!G58)*Barèmes!$E$33)</f>
        <v/>
      </c>
      <c r="I23" s="35" t="str">
        <f t="shared" si="2"/>
        <v/>
      </c>
      <c r="J23" s="35" t="str">
        <f>IF(A23="","",Barèmes!$E$37*SYNTHESE!H58)</f>
        <v/>
      </c>
      <c r="K23" s="35" t="str">
        <f>IF(A23="","",Barèmes!$E$38*SYNTHESE!I58)</f>
        <v/>
      </c>
      <c r="L23" s="35" t="str">
        <f>IF(A23="","",(SYNTHESE!E58-SYNTHESE!H58-SYNTHESE!I58)*Barèmes!$E$36)</f>
        <v/>
      </c>
      <c r="M23" s="35" t="str">
        <f>IF(B23="","",Barèmes!$E$39*(SYNTHESE!D58+SYNTHESE!E58))</f>
        <v/>
      </c>
      <c r="N23" s="286" t="str">
        <f>IF(A23="","",IF(I13="oui",IF(J13="oui",Barèmes!$E$41*(SYNTHESE!D58+SYNTHESE!E58),"0")))</f>
        <v/>
      </c>
      <c r="O23" s="35" t="str">
        <f>IF(A23="","",IF(I13="oui",(L13*Barèmes!$E$40),"erreur"))</f>
        <v/>
      </c>
      <c r="P23" s="216" t="str">
        <f>IF(A23="","",Barèmes!$E$42*SYNTHESE!D58)</f>
        <v/>
      </c>
      <c r="Q23" s="217" t="str">
        <f>IF(B23="","",IF(SYNTHESE!D58&gt;=5,(C23+E23+I23+M23+N23+O23+P23),"erreur"))</f>
        <v/>
      </c>
    </row>
    <row r="24" spans="1:18" x14ac:dyDescent="0.25">
      <c r="A24" s="32"/>
      <c r="B24" s="32"/>
      <c r="C24" s="484" t="str">
        <f>IF(B24="","",Barèmes!$E$32*('calcul AIP'!D14+E14))</f>
        <v/>
      </c>
      <c r="D24" s="484"/>
      <c r="E24" s="35" t="str">
        <f t="shared" si="1"/>
        <v/>
      </c>
      <c r="F24" s="35" t="str">
        <f>IF(A24="","",Barèmes!$E$34*SYNTHESE!F59)</f>
        <v/>
      </c>
      <c r="G24" s="35" t="str">
        <f>IF(A24="","",Barèmes!$E$35*SYNTHESE!G59)</f>
        <v/>
      </c>
      <c r="H24" s="35" t="str">
        <f>IF(A24="","",(D14-SYNTHESE!F59-SYNTHESE!G59)*Barèmes!$E$33)</f>
        <v/>
      </c>
      <c r="I24" s="35" t="str">
        <f t="shared" si="2"/>
        <v/>
      </c>
      <c r="J24" s="35" t="s">
        <v>304</v>
      </c>
      <c r="K24" s="35" t="str">
        <f>IF(A24="","",Barèmes!$E$38*SYNTHESE!I59)</f>
        <v/>
      </c>
      <c r="L24" s="35" t="str">
        <f>IF(A24="","",(SYNTHESE!E59-SYNTHESE!H59-SYNTHESE!I59)*Barèmes!$E$36)</f>
        <v/>
      </c>
      <c r="M24" s="35" t="str">
        <f>IF(B24="","",Barèmes!$E$39*(SYNTHESE!D59+SYNTHESE!E59))</f>
        <v/>
      </c>
      <c r="N24" s="286" t="str">
        <f>IF(A24="","",IF(I14="oui",IF(J14="oui",Barèmes!$E$41*(SYNTHESE!D59+SYNTHESE!E59),"0")))</f>
        <v/>
      </c>
      <c r="O24" s="35" t="str">
        <f>IF(A24="","",IF(I14="oui",(L14*Barèmes!$E$40),"erreur"))</f>
        <v/>
      </c>
      <c r="P24" s="216" t="str">
        <f>IF(A24="","",Barèmes!$E$42*SYNTHESE!D59)</f>
        <v/>
      </c>
      <c r="Q24" s="217" t="str">
        <f>IF(B24="","",IF(SYNTHESE!D59&gt;=5,(C24+E24+I24+M24+N24+O24+P24),"erreur"))</f>
        <v/>
      </c>
    </row>
    <row r="25" spans="1:18" x14ac:dyDescent="0.25">
      <c r="A25" s="32" t="str">
        <f>A14</f>
        <v/>
      </c>
      <c r="B25" s="32" t="str">
        <f>B14</f>
        <v/>
      </c>
      <c r="C25" s="484" t="str">
        <f>IF(B25="","",Barèmes!$E$32*('calcul AIP'!D15+E15))</f>
        <v/>
      </c>
      <c r="D25" s="484"/>
      <c r="E25" s="35" t="str">
        <f t="shared" si="1"/>
        <v/>
      </c>
      <c r="F25" s="35" t="str">
        <f>IF(A25="","",Barèmes!$E$34*SYNTHESE!F60)</f>
        <v/>
      </c>
      <c r="G25" s="35" t="str">
        <f>IF(A25="","",Barèmes!$E$35*SYNTHESE!G60)</f>
        <v/>
      </c>
      <c r="H25" s="35" t="str">
        <f>IF(A25="","",(D15-SYNTHESE!F60-SYNTHESE!G60)*Barèmes!$E$33)</f>
        <v/>
      </c>
      <c r="I25" s="35" t="str">
        <f t="shared" si="2"/>
        <v/>
      </c>
      <c r="J25" s="35" t="str">
        <f>IF(A25="","",Barèmes!$E$37*SYNTHESE!H60)</f>
        <v/>
      </c>
      <c r="K25" s="35" t="str">
        <f>IF(A25="","",Barèmes!$E$38*SYNTHESE!I60)</f>
        <v/>
      </c>
      <c r="L25" s="35" t="str">
        <f>IF(A25="","",(SYNTHESE!E60-SYNTHESE!H60-SYNTHESE!I60)*Barèmes!$E$36)</f>
        <v/>
      </c>
      <c r="M25" s="35" t="str">
        <f>IF(B25="","",Barèmes!$E$39*(SYNTHESE!D60+SYNTHESE!E60))</f>
        <v/>
      </c>
      <c r="N25" s="286" t="str">
        <f>IF(A25="","",IF(I15="oui",IF(J15="oui",Barèmes!$E$41*(SYNTHESE!D60+SYNTHESE!E60),"0")))</f>
        <v/>
      </c>
      <c r="O25" s="35" t="str">
        <f>IF(A25="","",IF(I15="oui",(J15*Barèmes!$E$40),"erreur"))</f>
        <v/>
      </c>
      <c r="P25" s="216" t="str">
        <f>IF(A25="","",Barèmes!$E$42*SYNTHESE!D60)</f>
        <v/>
      </c>
      <c r="Q25" s="217" t="str">
        <f>IF(B25="","",IF(SYNTHESE!D60&gt;=5,(C25+E25+I25+M25+N25+O25+P25),"erreur"))</f>
        <v/>
      </c>
    </row>
    <row r="26" spans="1:18" ht="15.75" thickBot="1" x14ac:dyDescent="0.3">
      <c r="Q26" s="57">
        <f>SUM(Q20:Q25)</f>
        <v>0</v>
      </c>
    </row>
    <row r="28" spans="1:18" x14ac:dyDescent="0.25">
      <c r="F28" s="215"/>
      <c r="O28" s="269"/>
    </row>
    <row r="29" spans="1:18" x14ac:dyDescent="0.25">
      <c r="O29" s="273"/>
    </row>
    <row r="30" spans="1:18" x14ac:dyDescent="0.25">
      <c r="A30" t="s">
        <v>48</v>
      </c>
    </row>
    <row r="31" spans="1:18" x14ac:dyDescent="0.25">
      <c r="A31">
        <v>1</v>
      </c>
      <c r="B31" t="s">
        <v>49</v>
      </c>
    </row>
    <row r="32" spans="1:18" x14ac:dyDescent="0.25">
      <c r="A32">
        <v>2</v>
      </c>
      <c r="B32" t="s">
        <v>50</v>
      </c>
    </row>
  </sheetData>
  <sheetProtection algorithmName="SHA-512" hashValue="tRGohb32GcFesIAPzbkCy68VbGbDu3EephkIndLd+0gSvyB0/Njt/Cj3wNQruB+jpmT0f3dcfG4TP+TsBm+tgQ==" saltValue="2yR9Z0OIoE/GBXF1jc1G6Q==" spinCount="100000" sheet="1" objects="1" scenarios="1" selectLockedCells="1" selectUnlockedCells="1"/>
  <mergeCells count="24">
    <mergeCell ref="J8:J9"/>
    <mergeCell ref="C23:D23"/>
    <mergeCell ref="C24:D24"/>
    <mergeCell ref="C25:D25"/>
    <mergeCell ref="C18:D19"/>
    <mergeCell ref="C20:D20"/>
    <mergeCell ref="C21:D21"/>
    <mergeCell ref="C22:D22"/>
    <mergeCell ref="M18:M19"/>
    <mergeCell ref="Q18:Q19"/>
    <mergeCell ref="A8:B8"/>
    <mergeCell ref="L8:L9"/>
    <mergeCell ref="I8:I9"/>
    <mergeCell ref="F8:F9"/>
    <mergeCell ref="C8:E8"/>
    <mergeCell ref="H8:H9"/>
    <mergeCell ref="G8:G9"/>
    <mergeCell ref="O18:O19"/>
    <mergeCell ref="P18:P19"/>
    <mergeCell ref="I18:L18"/>
    <mergeCell ref="N18:N19"/>
    <mergeCell ref="K8:K9"/>
    <mergeCell ref="A18:B18"/>
    <mergeCell ref="E18:H1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N30"/>
  <sheetViews>
    <sheetView showGridLines="0" zoomScale="70" zoomScaleNormal="70" workbookViewId="0">
      <selection activeCell="S46" sqref="S46"/>
    </sheetView>
  </sheetViews>
  <sheetFormatPr baseColWidth="10" defaultRowHeight="15" x14ac:dyDescent="0.25"/>
  <cols>
    <col min="1" max="1" width="16.42578125" customWidth="1"/>
    <col min="2" max="2" width="16.7109375" customWidth="1"/>
    <col min="3" max="7" width="14.85546875" customWidth="1"/>
    <col min="8" max="8" width="18.5703125" customWidth="1"/>
    <col min="9" max="9" width="18.42578125" customWidth="1"/>
    <col min="10" max="10" width="17" customWidth="1"/>
    <col min="11" max="12" width="15.85546875" customWidth="1"/>
    <col min="13" max="13" width="10.85546875" customWidth="1"/>
  </cols>
  <sheetData>
    <row r="2" spans="1:13" ht="26.25" x14ac:dyDescent="0.25">
      <c r="A2" s="7" t="s">
        <v>199</v>
      </c>
    </row>
    <row r="3" spans="1:13" ht="18.75" x14ac:dyDescent="0.25">
      <c r="A3" s="8" t="s">
        <v>15</v>
      </c>
    </row>
    <row r="4" spans="1:13" ht="18.75" x14ac:dyDescent="0.25">
      <c r="A4" s="8" t="s">
        <v>95</v>
      </c>
    </row>
    <row r="6" spans="1:13" x14ac:dyDescent="0.25">
      <c r="A6" s="13" t="s">
        <v>99</v>
      </c>
    </row>
    <row r="7" spans="1:13" x14ac:dyDescent="0.25">
      <c r="A7" s="13" t="s">
        <v>101</v>
      </c>
    </row>
    <row r="8" spans="1:13" x14ac:dyDescent="0.25"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</row>
    <row r="10" spans="1:13" ht="43.5" customHeight="1" x14ac:dyDescent="0.25">
      <c r="A10" s="473" t="s">
        <v>29</v>
      </c>
      <c r="B10" s="473"/>
      <c r="C10" s="235" t="s">
        <v>88</v>
      </c>
      <c r="D10" s="475" t="s">
        <v>0</v>
      </c>
      <c r="E10" s="476"/>
      <c r="F10" s="476"/>
      <c r="G10" s="477"/>
      <c r="H10" s="466" t="s">
        <v>59</v>
      </c>
      <c r="I10" s="466" t="s">
        <v>91</v>
      </c>
      <c r="J10" s="466" t="s">
        <v>92</v>
      </c>
      <c r="K10" s="466" t="s">
        <v>309</v>
      </c>
    </row>
    <row r="11" spans="1:13" ht="30" x14ac:dyDescent="0.25">
      <c r="A11" s="62" t="s">
        <v>51</v>
      </c>
      <c r="B11" s="62" t="s">
        <v>109</v>
      </c>
      <c r="C11" s="62" t="s">
        <v>132</v>
      </c>
      <c r="D11" s="62" t="s">
        <v>90</v>
      </c>
      <c r="E11" s="62" t="s">
        <v>56</v>
      </c>
      <c r="F11" s="62" t="s">
        <v>58</v>
      </c>
      <c r="G11" s="62" t="s">
        <v>57</v>
      </c>
      <c r="H11" s="467"/>
      <c r="I11" s="467"/>
      <c r="J11" s="467"/>
      <c r="K11" s="467"/>
    </row>
    <row r="12" spans="1:13" x14ac:dyDescent="0.25">
      <c r="A12" s="64" t="str">
        <f>IF(SYNTHESE!A71="","",SYNTHESE!A71)</f>
        <v/>
      </c>
      <c r="B12" s="64" t="str">
        <f>IF('calcul BOS'!A12="","",SYNTHESE!B71)</f>
        <v/>
      </c>
      <c r="C12" s="64" t="str">
        <f>IF(B12="","",IF(AND(SYNTHESE!C71&gt;=100,SYNTHESE!C71&lt;=5000),SYNTHESE!C71,"erreur"))</f>
        <v/>
      </c>
      <c r="D12" s="66" t="str">
        <f>IF(B12="","",IF((SYNTHESE!D71+SYNTHESE!E71)&lt;0.5,"ErreurVL+MFR","oui"))</f>
        <v/>
      </c>
      <c r="E12" s="65" t="str">
        <f>IF(B12="","",SYNTHESE!D71*20)</f>
        <v/>
      </c>
      <c r="F12" s="65" t="str">
        <f>IF(C12="","",SYNTHESE!E71*20)</f>
        <v/>
      </c>
      <c r="G12" s="65" t="str">
        <f>IF(D12="","",20-E12-F12)</f>
        <v/>
      </c>
      <c r="H12" s="64" t="str">
        <f>IF(B12="","","oui")</f>
        <v/>
      </c>
      <c r="I12" s="64" t="str">
        <f>IF(B12="","","oui")</f>
        <v/>
      </c>
      <c r="J12" s="64" t="str">
        <f>IF(B12="","","oui")</f>
        <v/>
      </c>
      <c r="K12" s="326" t="e">
        <f>(2000*C12)/10000</f>
        <v>#VALUE!</v>
      </c>
      <c r="L12" s="322"/>
    </row>
    <row r="13" spans="1:13" x14ac:dyDescent="0.25">
      <c r="A13" s="64" t="str">
        <f>IF(SYNTHESE!A72="","",SYNTHESE!A72)</f>
        <v/>
      </c>
      <c r="B13" s="64" t="str">
        <f>IF('calcul BOS'!A13="","",SYNTHESE!B72)</f>
        <v/>
      </c>
      <c r="C13" s="64" t="str">
        <f>IF(B13="","",IF(AND(SYNTHESE!C72&gt;=100,SYNTHESE!C72&lt;=5000),SYNTHESE!C72,"erreur"))</f>
        <v/>
      </c>
      <c r="D13" s="66" t="str">
        <f>IF(B13="","",IF((SYNTHESE!D72+SYNTHESE!E72)&lt;0.5,"ErreurVL+MFR","oui"))</f>
        <v/>
      </c>
      <c r="E13" s="65" t="str">
        <f>IF(B13="","",SYNTHESE!D72*20)</f>
        <v/>
      </c>
      <c r="F13" s="65" t="str">
        <f>IF(C13="","",SYNTHESE!E72*20)</f>
        <v/>
      </c>
      <c r="G13" s="65" t="str">
        <f t="shared" ref="G13:G16" si="0">IF(D13="","",20-E13-F13)</f>
        <v/>
      </c>
      <c r="H13" s="64" t="str">
        <f>IF(B13="","","oui")</f>
        <v/>
      </c>
      <c r="I13" s="64" t="str">
        <f>IF(B13="","","oui")</f>
        <v/>
      </c>
      <c r="J13" s="64" t="str">
        <f>IF(B13="","","oui")</f>
        <v/>
      </c>
      <c r="K13" s="326" t="e">
        <f t="shared" ref="K13:K16" si="1">(2000*C13)/10000</f>
        <v>#VALUE!</v>
      </c>
    </row>
    <row r="14" spans="1:13" x14ac:dyDescent="0.25">
      <c r="A14" s="64" t="str">
        <f>IF(SYNTHESE!A73="","",SYNTHESE!A73)</f>
        <v/>
      </c>
      <c r="B14" s="64" t="str">
        <f>IF('calcul BOS'!A14="","",SYNTHESE!B73)</f>
        <v/>
      </c>
      <c r="C14" s="64" t="str">
        <f>IF(B14="","",IF(AND(SYNTHESE!C73&gt;=100,SYNTHESE!C73&lt;=5000),SYNTHESE!C73,"erreur"))</f>
        <v/>
      </c>
      <c r="D14" s="66" t="str">
        <f>IF(B14="","",IF((SYNTHESE!D73+SYNTHESE!E73)&lt;0.5,"ErreurVL+MFR","oui"))</f>
        <v/>
      </c>
      <c r="E14" s="65" t="str">
        <f>IF(B14="","",SYNTHESE!D73*20)</f>
        <v/>
      </c>
      <c r="F14" s="65" t="str">
        <f>IF(C14="","",SYNTHESE!E73*20)</f>
        <v/>
      </c>
      <c r="G14" s="65" t="str">
        <f t="shared" si="0"/>
        <v/>
      </c>
      <c r="H14" s="64" t="str">
        <f>IF(B14="","","oui")</f>
        <v/>
      </c>
      <c r="I14" s="64" t="str">
        <f>IF(B14="","","oui")</f>
        <v/>
      </c>
      <c r="J14" s="64" t="str">
        <f>IF(B14="","","oui")</f>
        <v/>
      </c>
      <c r="K14" s="326" t="e">
        <f t="shared" si="1"/>
        <v>#VALUE!</v>
      </c>
    </row>
    <row r="15" spans="1:13" x14ac:dyDescent="0.25">
      <c r="A15" s="64" t="str">
        <f>IF(SYNTHESE!A74="","",SYNTHESE!A74)</f>
        <v/>
      </c>
      <c r="B15" s="64" t="str">
        <f>IF('calcul BOS'!A15="","",SYNTHESE!B74)</f>
        <v/>
      </c>
      <c r="C15" s="64" t="str">
        <f>IF(B15="","",IF(AND(SYNTHESE!C74&gt;=100,SYNTHESE!C74&lt;=5000),SYNTHESE!C74,"erreur"))</f>
        <v/>
      </c>
      <c r="D15" s="66" t="str">
        <f>IF(B15="","",IF((SYNTHESE!D74+SYNTHESE!E74)&lt;0.5,"ErreurVL+MFR","oui"))</f>
        <v/>
      </c>
      <c r="E15" s="65" t="str">
        <f>IF(B15="","",SYNTHESE!D74*20)</f>
        <v/>
      </c>
      <c r="F15" s="65" t="str">
        <f>IF(C15="","",SYNTHESE!E74*20)</f>
        <v/>
      </c>
      <c r="G15" s="65" t="str">
        <f t="shared" si="0"/>
        <v/>
      </c>
      <c r="H15" s="64" t="str">
        <f>IF(B15="","","oui")</f>
        <v/>
      </c>
      <c r="I15" s="64" t="str">
        <f>IF(B15="","","oui")</f>
        <v/>
      </c>
      <c r="J15" s="64" t="str">
        <f>IF(B15="","","oui")</f>
        <v/>
      </c>
      <c r="K15" s="326" t="e">
        <f t="shared" si="1"/>
        <v>#VALUE!</v>
      </c>
    </row>
    <row r="16" spans="1:13" x14ac:dyDescent="0.25">
      <c r="A16" s="64" t="str">
        <f>IF(SYNTHESE!A75="","",SYNTHESE!A75)</f>
        <v/>
      </c>
      <c r="B16" s="64" t="str">
        <f>IF('calcul BOS'!A16="","",SYNTHESE!B75)</f>
        <v/>
      </c>
      <c r="C16" s="64" t="str">
        <f>IF(B16="","",IF(AND(SYNTHESE!C75&gt;=100,SYNTHESE!C75&lt;=5000),SYNTHESE!C75,"erreur"))</f>
        <v/>
      </c>
      <c r="D16" s="66" t="str">
        <f>IF(B16="","",IF((SYNTHESE!D75+SYNTHESE!E75)&lt;0.5,"ErreurVL+MFR","oui"))</f>
        <v/>
      </c>
      <c r="E16" s="65" t="str">
        <f>IF(B16="","",SYNTHESE!D75*20)</f>
        <v/>
      </c>
      <c r="F16" s="65" t="str">
        <f>IF(C16="","",SYNTHESE!E75*20)</f>
        <v/>
      </c>
      <c r="G16" s="65" t="str">
        <f t="shared" si="0"/>
        <v/>
      </c>
      <c r="H16" s="64" t="str">
        <f>IF(B16="","","oui")</f>
        <v/>
      </c>
      <c r="I16" s="64" t="str">
        <f>IF(B16="","","oui")</f>
        <v/>
      </c>
      <c r="J16" s="64" t="str">
        <f>IF(B16="","","oui")</f>
        <v/>
      </c>
      <c r="K16" s="326" t="e">
        <f t="shared" si="1"/>
        <v>#VALUE!</v>
      </c>
    </row>
    <row r="17" spans="1:14" x14ac:dyDescent="0.25">
      <c r="A17" s="63"/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</row>
    <row r="18" spans="1:14" x14ac:dyDescent="0.25">
      <c r="A18" s="67" t="s">
        <v>275</v>
      </c>
      <c r="B18" s="63"/>
      <c r="C18" s="257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</row>
    <row r="19" spans="1:14" x14ac:dyDescent="0.25">
      <c r="A19" s="63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</row>
    <row r="20" spans="1:14" ht="26.45" customHeight="1" x14ac:dyDescent="0.25">
      <c r="A20" s="473" t="s">
        <v>29</v>
      </c>
      <c r="B20" s="473"/>
      <c r="C20" s="466" t="s">
        <v>110</v>
      </c>
      <c r="D20" s="475" t="s">
        <v>0</v>
      </c>
      <c r="E20" s="476"/>
      <c r="F20" s="476"/>
      <c r="G20" s="477"/>
      <c r="H20" s="466" t="s">
        <v>59</v>
      </c>
      <c r="I20" s="466" t="s">
        <v>91</v>
      </c>
      <c r="J20" s="466" t="s">
        <v>92</v>
      </c>
      <c r="K20" s="469" t="s">
        <v>274</v>
      </c>
      <c r="L20" s="257"/>
      <c r="M20" s="63"/>
      <c r="N20" s="63"/>
    </row>
    <row r="21" spans="1:14" ht="30" x14ac:dyDescent="0.25">
      <c r="A21" s="62" t="s">
        <v>51</v>
      </c>
      <c r="B21" s="62" t="s">
        <v>52</v>
      </c>
      <c r="C21" s="467"/>
      <c r="D21" s="62" t="s">
        <v>64</v>
      </c>
      <c r="E21" s="62" t="s">
        <v>65</v>
      </c>
      <c r="F21" s="62" t="s">
        <v>66</v>
      </c>
      <c r="G21" s="62" t="s">
        <v>67</v>
      </c>
      <c r="H21" s="467"/>
      <c r="I21" s="467"/>
      <c r="J21" s="467"/>
      <c r="K21" s="469"/>
      <c r="M21" s="63"/>
      <c r="N21" s="63"/>
    </row>
    <row r="22" spans="1:14" x14ac:dyDescent="0.25">
      <c r="A22" s="64" t="str">
        <f>IF(A12="","",A12)</f>
        <v/>
      </c>
      <c r="B22" s="64" t="str">
        <f>IF(B12="","",B12)</f>
        <v/>
      </c>
      <c r="C22" s="68" t="str">
        <f>IF(B22="","",(Barèmes!$E$53/100)*C12)</f>
        <v/>
      </c>
      <c r="D22" s="68" t="str">
        <f>IF(B22="","",IF(D12="oui",(E22+F22+G22),"erreur"))</f>
        <v/>
      </c>
      <c r="E22" s="68" t="str">
        <f>IF(B22="","",(Barèmes!$E$55*SYNTHESE!D71)*('calcul BOS'!C12/100))</f>
        <v/>
      </c>
      <c r="F22" s="68" t="str">
        <f>IF(C22="","",(Barèmes!$E$56*SYNTHESE!E71)*(C12/100))</f>
        <v/>
      </c>
      <c r="G22" s="68" t="str">
        <f>IF(B22=""," ",(1-SYNTHESE!D71-SYNTHESE!E71)*Barèmes!$E$54*('calcul BOS'!C12/100))</f>
        <v xml:space="preserve"> </v>
      </c>
      <c r="H22" s="68" t="str">
        <f>IF(B22="","",(Barèmes!$E$57/100)*'calcul BOS'!C12)</f>
        <v/>
      </c>
      <c r="I22" s="64" t="str">
        <f>IF(B22="","",(Barèmes!$E$58/100)*C12)</f>
        <v/>
      </c>
      <c r="J22" s="64" t="str">
        <f>IF(B22="","",(Barèmes!$E$59/100)*'calcul BOS'!C12)</f>
        <v/>
      </c>
      <c r="K22" s="69" t="str">
        <f>IF(D22="","",J22+I22+H22+D22+C22)</f>
        <v/>
      </c>
      <c r="M22" s="63"/>
      <c r="N22" s="63"/>
    </row>
    <row r="23" spans="1:14" x14ac:dyDescent="0.25">
      <c r="A23" s="64" t="str">
        <f t="shared" ref="A23:B26" si="2">IF(A13="","",A13)</f>
        <v/>
      </c>
      <c r="B23" s="64" t="str">
        <f t="shared" si="2"/>
        <v/>
      </c>
      <c r="C23" s="68" t="str">
        <f>IF(B23="","",(Barèmes!$E$53/100)*C13)</f>
        <v/>
      </c>
      <c r="D23" s="68" t="str">
        <f>IF(B23="","",IF(D13="oui",(E23+F23+G23),"erreur"))</f>
        <v/>
      </c>
      <c r="E23" s="68" t="str">
        <f>IF(B23="","",(Barèmes!$E$55*SYNTHESE!D72)*('calcul BOS'!C13/100))</f>
        <v/>
      </c>
      <c r="F23" s="68" t="str">
        <f>IF(C23="","",(Barèmes!$E$56*SYNTHESE!E72)*(C13/100))</f>
        <v/>
      </c>
      <c r="G23" s="68" t="str">
        <f>IF(B23=""," ",(1-SYNTHESE!D72-SYNTHESE!E72)*Barèmes!$E$54*('calcul BOS'!C13/100))</f>
        <v xml:space="preserve"> </v>
      </c>
      <c r="H23" s="68" t="str">
        <f>IF(B23="","",(Barèmes!$E$57/100)*'calcul BOS'!C13)</f>
        <v/>
      </c>
      <c r="I23" s="64" t="str">
        <f>IF(B23="","",(Barèmes!$E$58/100)*C13)</f>
        <v/>
      </c>
      <c r="J23" s="64" t="str">
        <f>IF(B23="","",(Barèmes!$E$59/100)*'calcul BOS'!C13)</f>
        <v/>
      </c>
      <c r="K23" s="69" t="str">
        <f t="shared" ref="K23:K26" si="3">IF(D23="","",J23+I23+H23+D23+C23)</f>
        <v/>
      </c>
      <c r="M23" s="63"/>
      <c r="N23" s="63"/>
    </row>
    <row r="24" spans="1:14" x14ac:dyDescent="0.25">
      <c r="A24" s="64" t="str">
        <f t="shared" si="2"/>
        <v/>
      </c>
      <c r="B24" s="64" t="str">
        <f t="shared" si="2"/>
        <v/>
      </c>
      <c r="C24" s="68" t="str">
        <f>IF(B24="","",(Barèmes!$E$53/100)*C14)</f>
        <v/>
      </c>
      <c r="D24" s="68" t="str">
        <f>IF(B24="","",IF(D14="oui",(E24+F24+G24),"erreur"))</f>
        <v/>
      </c>
      <c r="E24" s="68" t="str">
        <f>IF(B24="","",(Barèmes!$E$55*SYNTHESE!D73)*('calcul BOS'!C14/100))</f>
        <v/>
      </c>
      <c r="F24" s="68" t="str">
        <f>IF(C24="","",(Barèmes!$E$56*SYNTHESE!E73)*(C14/100))</f>
        <v/>
      </c>
      <c r="G24" s="68" t="str">
        <f>IF(B24=""," ",(1-SYNTHESE!D73-SYNTHESE!E73)*Barèmes!$E$54*('calcul BOS'!C14/100))</f>
        <v xml:space="preserve"> </v>
      </c>
      <c r="H24" s="68" t="str">
        <f>IF(B24="","",(Barèmes!$E$57/100)*'calcul BOS'!C14)</f>
        <v/>
      </c>
      <c r="I24" s="64" t="str">
        <f>IF(B24="","",(Barèmes!$E$58/100)*C14)</f>
        <v/>
      </c>
      <c r="J24" s="64" t="str">
        <f>IF(B24="","",(Barèmes!$E$59/100)*'calcul BOS'!C14)</f>
        <v/>
      </c>
      <c r="K24" s="69" t="str">
        <f t="shared" si="3"/>
        <v/>
      </c>
      <c r="M24" s="63"/>
      <c r="N24" s="63"/>
    </row>
    <row r="25" spans="1:14" x14ac:dyDescent="0.25">
      <c r="A25" s="64" t="str">
        <f t="shared" si="2"/>
        <v/>
      </c>
      <c r="B25" s="64" t="str">
        <f t="shared" si="2"/>
        <v/>
      </c>
      <c r="C25" s="68" t="str">
        <f>IF(B25="","",(Barèmes!$E$53/100)*C15)</f>
        <v/>
      </c>
      <c r="D25" s="68" t="str">
        <f>IF(B25="","",IF(D15="oui",(E25+F25+G25),"erreur"))</f>
        <v/>
      </c>
      <c r="E25" s="68" t="str">
        <f>IF(B25="","",(Barèmes!$E$55*SYNTHESE!D74)*('calcul BOS'!C15/100))</f>
        <v/>
      </c>
      <c r="F25" s="68" t="str">
        <f>IF(C25="","",(Barèmes!$E$56*SYNTHESE!E74)*(C15/100))</f>
        <v/>
      </c>
      <c r="G25" s="68" t="str">
        <f>IF(B25=""," ",(1-SYNTHESE!D74-SYNTHESE!E74)*Barèmes!$E$54*('calcul BOS'!C15/100))</f>
        <v xml:space="preserve"> </v>
      </c>
      <c r="H25" s="68" t="str">
        <f>IF(B25="","",(Barèmes!$E$57/100)*'calcul BOS'!C15)</f>
        <v/>
      </c>
      <c r="I25" s="64" t="str">
        <f>IF(B25="","",(Barèmes!$E$58/100)*C15)</f>
        <v/>
      </c>
      <c r="J25" s="64" t="str">
        <f>IF(B25="","",(Barèmes!$E$59/100)*'calcul BOS'!C15)</f>
        <v/>
      </c>
      <c r="K25" s="69" t="str">
        <f t="shared" si="3"/>
        <v/>
      </c>
      <c r="M25" s="63"/>
      <c r="N25" s="63"/>
    </row>
    <row r="26" spans="1:14" x14ac:dyDescent="0.25">
      <c r="A26" s="64" t="str">
        <f t="shared" si="2"/>
        <v/>
      </c>
      <c r="B26" s="64" t="str">
        <f t="shared" si="2"/>
        <v/>
      </c>
      <c r="C26" s="68" t="str">
        <f>IF(B26="","",(Barèmes!$E$53/100)*C16)</f>
        <v/>
      </c>
      <c r="D26" s="68" t="str">
        <f>IF(B26="","",IF(D16="oui",(E26+F26+G26),"erreur"))</f>
        <v/>
      </c>
      <c r="E26" s="68" t="str">
        <f>IF(B26="","",(Barèmes!$E$55*SYNTHESE!D75)*('calcul BOS'!C16/100))</f>
        <v/>
      </c>
      <c r="F26" s="68" t="str">
        <f>IF(C26="","",(Barèmes!$E$56*SYNTHESE!E75)*(C16/100))</f>
        <v/>
      </c>
      <c r="G26" s="68" t="str">
        <f>IF(B26=""," ",(1-SYNTHESE!D75-SYNTHESE!E75)*Barèmes!$E$54*('calcul BOS'!C16/100))</f>
        <v xml:space="preserve"> </v>
      </c>
      <c r="H26" s="68" t="str">
        <f>IF(B26="","",(Barèmes!$E$57/100)*'calcul BOS'!C16)</f>
        <v/>
      </c>
      <c r="I26" s="64" t="str">
        <f>IF(B26="","",(Barèmes!$E$58/100)*C16)</f>
        <v/>
      </c>
      <c r="J26" s="64" t="str">
        <f>IF(B26="","",(Barèmes!$E$59/100)*'calcul BOS'!C16)</f>
        <v/>
      </c>
      <c r="K26" s="69" t="str">
        <f t="shared" si="3"/>
        <v/>
      </c>
      <c r="M26" s="63"/>
      <c r="N26" s="63"/>
    </row>
    <row r="27" spans="1:14" x14ac:dyDescent="0.25">
      <c r="A27" s="63"/>
      <c r="B27" s="63"/>
      <c r="C27" s="63"/>
      <c r="D27" s="63"/>
      <c r="E27" s="63"/>
      <c r="F27" s="63"/>
      <c r="G27" s="63"/>
      <c r="H27" s="63"/>
      <c r="I27" s="63"/>
      <c r="J27" s="63"/>
      <c r="K27" s="70" t="str">
        <f>IF(B22="","",SUM(K22:K26))</f>
        <v/>
      </c>
      <c r="M27" s="63"/>
      <c r="N27" s="63"/>
    </row>
    <row r="28" spans="1:14" x14ac:dyDescent="0.25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  <c r="M28" s="63"/>
      <c r="N28" s="63"/>
    </row>
    <row r="29" spans="1:14" x14ac:dyDescent="0.25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</row>
    <row r="30" spans="1:14" x14ac:dyDescent="0.25">
      <c r="L30" s="63"/>
      <c r="M30" s="63"/>
      <c r="N30" s="63"/>
    </row>
  </sheetData>
  <sheetProtection algorithmName="SHA-512" hashValue="ok5v20XcuGosEyfyy14vSP4zFl3BX7Sb7eQ/kaqVBn6GJZypNrIAcYmjgLjbrgu2ujyh5rFatP8zHV4U8NJOhQ==" saltValue="pHdKBbjU+zE/8sW9tIN3oA==" spinCount="100000" sheet="1" objects="1" scenarios="1" selectLockedCells="1" selectUnlockedCells="1"/>
  <mergeCells count="13">
    <mergeCell ref="K20:K21"/>
    <mergeCell ref="D10:G10"/>
    <mergeCell ref="I10:I11"/>
    <mergeCell ref="J10:J11"/>
    <mergeCell ref="D20:G20"/>
    <mergeCell ref="H20:H21"/>
    <mergeCell ref="H10:H11"/>
    <mergeCell ref="K10:K11"/>
    <mergeCell ref="A10:B10"/>
    <mergeCell ref="A20:B20"/>
    <mergeCell ref="C20:C21"/>
    <mergeCell ref="I20:I21"/>
    <mergeCell ref="J20:J2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26"/>
  <sheetViews>
    <sheetView zoomScale="70" zoomScaleNormal="70" workbookViewId="0">
      <selection activeCell="S46" sqref="S46"/>
    </sheetView>
  </sheetViews>
  <sheetFormatPr baseColWidth="10" defaultRowHeight="15" x14ac:dyDescent="0.25"/>
  <cols>
    <col min="1" max="1" width="13.5703125" customWidth="1"/>
    <col min="2" max="2" width="14.85546875" customWidth="1"/>
    <col min="3" max="3" width="21.5703125" customWidth="1"/>
    <col min="4" max="8" width="17.140625" customWidth="1"/>
  </cols>
  <sheetData>
    <row r="1" spans="1:14" x14ac:dyDescent="0.25">
      <c r="A1" s="63"/>
    </row>
    <row r="2" spans="1:14" ht="26.25" x14ac:dyDescent="0.25">
      <c r="A2" s="10" t="s">
        <v>200</v>
      </c>
    </row>
    <row r="3" spans="1:14" ht="18.75" x14ac:dyDescent="0.25">
      <c r="A3" s="185" t="s">
        <v>15</v>
      </c>
    </row>
    <row r="4" spans="1:14" ht="18.75" x14ac:dyDescent="0.25">
      <c r="A4" s="185" t="s">
        <v>161</v>
      </c>
    </row>
    <row r="8" spans="1:14" ht="32.1" customHeight="1" x14ac:dyDescent="0.25">
      <c r="A8" s="473" t="s">
        <v>29</v>
      </c>
      <c r="B8" s="473"/>
      <c r="C8" s="481" t="s">
        <v>73</v>
      </c>
      <c r="D8" s="483"/>
    </row>
    <row r="9" spans="1:14" ht="30" x14ac:dyDescent="0.25">
      <c r="A9" s="180" t="s">
        <v>81</v>
      </c>
      <c r="B9" s="180" t="s">
        <v>193</v>
      </c>
      <c r="C9" s="180" t="s">
        <v>190</v>
      </c>
      <c r="D9" s="180" t="s">
        <v>198</v>
      </c>
      <c r="E9" s="252"/>
      <c r="F9" s="249"/>
      <c r="G9" s="249"/>
      <c r="H9" s="249"/>
      <c r="I9" s="249"/>
      <c r="J9" s="249"/>
      <c r="K9" s="249"/>
      <c r="L9" s="249"/>
      <c r="M9" s="249"/>
      <c r="N9" s="249"/>
    </row>
    <row r="10" spans="1:14" x14ac:dyDescent="0.25">
      <c r="A10" s="32" t="str">
        <f>IF(SYNTHESE!A140="","",SYNTHESE!A140)</f>
        <v/>
      </c>
      <c r="B10" s="32" t="str">
        <f>IF(A10="","",SYNTHESE!B140)</f>
        <v/>
      </c>
      <c r="C10" s="32" t="str">
        <f>IF(B10="","",SYNTHESE!C140)</f>
        <v/>
      </c>
      <c r="D10" s="181" t="str">
        <f>IF(B10="","",IF(AND(C10&lt;100,C10&gt;=25),"surface 1",IF(AND(C10&lt;=199,C10&gt;=100),"surface 2",IF(AND(C10&lt;=299,C10&gt;=200),"surface 3",IF(AND(C10&lt;=500,C10&gt;=300),"surface 4","erreur")))))</f>
        <v/>
      </c>
      <c r="E10" s="249"/>
      <c r="F10" s="249"/>
      <c r="G10" s="249"/>
      <c r="H10" s="249"/>
      <c r="I10" s="249"/>
      <c r="J10" s="249"/>
      <c r="K10" s="249"/>
      <c r="L10" s="249"/>
      <c r="M10" s="249"/>
      <c r="N10" s="249"/>
    </row>
    <row r="11" spans="1:14" x14ac:dyDescent="0.25">
      <c r="A11" s="32" t="str">
        <f>IF(SYNTHESE!A141="","",SYNTHESE!A141)</f>
        <v/>
      </c>
      <c r="B11" s="32" t="str">
        <f>IF(A11="","",SYNTHESE!B141)</f>
        <v/>
      </c>
      <c r="C11" s="32" t="str">
        <f>IF(B11="","",SYNTHESE!C141)</f>
        <v/>
      </c>
      <c r="D11" s="181" t="str">
        <f t="shared" ref="D11:D14" si="0">IF(B11="","",IF(AND(C11&lt;100,C11&gt;=25),"surface 1",IF(AND(C11&lt;=199,C11&gt;=100),"surface 2",IF(AND(C11&lt;=299,C11&gt;=200),"surface 3",IF(AND(C11&lt;=500,C11&gt;=300),"surface 4","erreur")))))</f>
        <v/>
      </c>
      <c r="E11" s="249"/>
      <c r="F11" s="249"/>
      <c r="G11" s="249"/>
      <c r="H11" s="249"/>
      <c r="I11" s="249"/>
      <c r="J11" s="249"/>
      <c r="K11" s="249"/>
      <c r="L11" s="249"/>
      <c r="M11" s="249"/>
      <c r="N11" s="249"/>
    </row>
    <row r="12" spans="1:14" x14ac:dyDescent="0.25">
      <c r="A12" s="32" t="str">
        <f>IF(SYNTHESE!A142="","",SYNTHESE!A142)</f>
        <v/>
      </c>
      <c r="B12" s="32" t="str">
        <f>IF(A12="","",SYNTHESE!B142)</f>
        <v/>
      </c>
      <c r="C12" s="32" t="str">
        <f>IF(B12="","",SYNTHESE!C142)</f>
        <v/>
      </c>
      <c r="D12" s="181" t="str">
        <f t="shared" si="0"/>
        <v/>
      </c>
    </row>
    <row r="13" spans="1:14" x14ac:dyDescent="0.25">
      <c r="A13" s="32" t="str">
        <f>IF(SYNTHESE!A143="","",SYNTHESE!A143)</f>
        <v/>
      </c>
      <c r="B13" s="32" t="str">
        <f>IF(A13="","",SYNTHESE!B143)</f>
        <v/>
      </c>
      <c r="C13" s="32" t="str">
        <f>IF(B13="","",SYNTHESE!C143)</f>
        <v/>
      </c>
      <c r="D13" s="181" t="str">
        <f t="shared" si="0"/>
        <v/>
      </c>
    </row>
    <row r="14" spans="1:14" x14ac:dyDescent="0.25">
      <c r="A14" s="32" t="str">
        <f>IF(SYNTHESE!A144="","",SYNTHESE!A144)</f>
        <v/>
      </c>
      <c r="B14" s="32" t="str">
        <f>IF(A14="","",SYNTHESE!B144)</f>
        <v/>
      </c>
      <c r="C14" s="32" t="str">
        <f>IF(B14="","",SYNTHESE!C144)</f>
        <v/>
      </c>
      <c r="D14" s="181" t="str">
        <f t="shared" si="0"/>
        <v/>
      </c>
    </row>
    <row r="16" spans="1:14" x14ac:dyDescent="0.25">
      <c r="A16" s="38" t="s">
        <v>275</v>
      </c>
    </row>
    <row r="18" spans="1:5" ht="36" customHeight="1" x14ac:dyDescent="0.25">
      <c r="A18" s="473" t="s">
        <v>29</v>
      </c>
      <c r="B18" s="473"/>
      <c r="C18" s="485" t="s">
        <v>272</v>
      </c>
      <c r="D18" s="485" t="s">
        <v>274</v>
      </c>
    </row>
    <row r="19" spans="1:5" ht="30" x14ac:dyDescent="0.25">
      <c r="A19" s="180" t="s">
        <v>51</v>
      </c>
      <c r="B19" s="180" t="s">
        <v>194</v>
      </c>
      <c r="C19" s="486"/>
      <c r="D19" s="486"/>
      <c r="E19" s="257"/>
    </row>
    <row r="20" spans="1:5" x14ac:dyDescent="0.25">
      <c r="A20" s="32" t="str">
        <f>IF(SYNTHESE!A140="","",SYNTHESE!A140)</f>
        <v/>
      </c>
      <c r="B20" s="32" t="str">
        <f>IF(SYNTHESE!B140="","",SYNTHESE!B140)</f>
        <v/>
      </c>
      <c r="C20" s="39" t="str">
        <f>IF(B20="","",IF(D10="surface 1",Barèmes!$F$111*C10,IF(D10="surface 2",Barèmes!$F$112*C10,IF(D10="surface 3",Barèmes!$F$113*C10,IF(D10="surface 4",Barèmes!$F$114*C10,"erreur")))))</f>
        <v/>
      </c>
      <c r="D20" s="39" t="str">
        <f>IF(A20="","",C20)</f>
        <v/>
      </c>
    </row>
    <row r="21" spans="1:5" x14ac:dyDescent="0.25">
      <c r="A21" s="32" t="str">
        <f>IF(SYNTHESE!A141="","",SYNTHESE!A141)</f>
        <v/>
      </c>
      <c r="B21" s="32" t="str">
        <f>IF(SYNTHESE!B141="","",SYNTHESE!B141)</f>
        <v/>
      </c>
      <c r="C21" s="39" t="str">
        <f>IF(B21="","",IF(D11="surface 1",Barèmes!$F$111*C11,IF(D11="surface 2",Barèmes!$F$112*C11,IF(D11="surface 3",Barèmes!$F$113*C11,IF(D11="surface 4",Barèmes!$F$114*C11,"erreur")))))</f>
        <v/>
      </c>
      <c r="D21" s="39" t="str">
        <f t="shared" ref="D21:D25" si="1">IF(A21="","",C21)</f>
        <v/>
      </c>
    </row>
    <row r="22" spans="1:5" x14ac:dyDescent="0.25">
      <c r="A22" s="32" t="str">
        <f>IF(SYNTHESE!A142="","",SYNTHESE!A142)</f>
        <v/>
      </c>
      <c r="B22" s="32" t="str">
        <f>IF(SYNTHESE!B142="","",SYNTHESE!B142)</f>
        <v/>
      </c>
      <c r="C22" s="39" t="str">
        <f>IF(B22="","",IF(D12="surface 1",Barèmes!$F$111*C12,IF(D12="surface 2",Barèmes!$F$112*C12,IF(D12="surface 3",Barèmes!$F$113*C12,IF(D12="surface 4",Barèmes!$F$114*C12,"erreur")))))</f>
        <v/>
      </c>
      <c r="D22" s="39" t="str">
        <f t="shared" si="1"/>
        <v/>
      </c>
    </row>
    <row r="23" spans="1:5" x14ac:dyDescent="0.25">
      <c r="A23" s="32" t="str">
        <f>IF(SYNTHESE!A143="","",SYNTHESE!A143)</f>
        <v/>
      </c>
      <c r="B23" s="32" t="str">
        <f>IF(SYNTHESE!B143="","",SYNTHESE!B143)</f>
        <v/>
      </c>
      <c r="C23" s="39" t="str">
        <f>IF(B23="","",IF(D13="surface 1",Barèmes!$F$111*C13,IF(D13="surface 2",Barèmes!$F$112*C13,IF(D13="surface 3",Barèmes!$F$113*C13,IF(D13="surface 4",Barèmes!$F$114*C13,"erreur")))))</f>
        <v/>
      </c>
      <c r="D23" s="39" t="str">
        <f t="shared" si="1"/>
        <v/>
      </c>
    </row>
    <row r="24" spans="1:5" x14ac:dyDescent="0.25">
      <c r="A24" s="32" t="str">
        <f>IF(SYNTHESE!A144="","",SYNTHESE!A144)</f>
        <v/>
      </c>
      <c r="B24" s="32" t="str">
        <f>IF(SYNTHESE!B144="","",SYNTHESE!B144)</f>
        <v/>
      </c>
      <c r="C24" s="39" t="str">
        <f>IF(B24="","",IF(D14="surface 1",Barèmes!$F$111*C14,IF(D14="surface 2",Barèmes!$F$112*C14,IF(D14="surface 3",Barèmes!$F$113*C14,IF(D14="surface 4",Barèmes!$F$114*C14,"erreur")))))</f>
        <v/>
      </c>
      <c r="D24" s="39" t="str">
        <f t="shared" si="1"/>
        <v/>
      </c>
    </row>
    <row r="25" spans="1:5" x14ac:dyDescent="0.25">
      <c r="A25" s="32" t="str">
        <f>IF(SYNTHESE!A145="","",SYNTHESE!A145)</f>
        <v/>
      </c>
      <c r="B25" s="32" t="str">
        <f>IF(SYNTHESE!B145="","",SYNTHESE!B145)</f>
        <v/>
      </c>
      <c r="C25" s="39" t="str">
        <f>IF(B25="","",IF(D15="surface 1",Barèmes!$F$111*C15,IF(D15="surface 2",Barèmes!$F$112*C15,IF(D15="surface 3",Barèmes!$F$113*C15,IF(D15="surface 4",Barèmes!$F$114*C15,"erreur")))))</f>
        <v/>
      </c>
      <c r="D25" s="39" t="str">
        <f t="shared" si="1"/>
        <v/>
      </c>
    </row>
    <row r="26" spans="1:5" ht="15.75" thickBot="1" x14ac:dyDescent="0.3">
      <c r="D26" s="184">
        <f>SUM(D20:D25)</f>
        <v>0</v>
      </c>
    </row>
  </sheetData>
  <sheetProtection algorithmName="SHA-512" hashValue="zW9Ndj7w+XnfI0lCiRirLrSjuzRhpXUP1O/O5w9GbHBwQw5qU0lOoFof3y4g9Ij/n6mtpvqhBFjNL/6lPegODg==" saltValue="WqLxcA2to0X9Hh6qa70YBQ==" spinCount="100000" sheet="1" objects="1" scenarios="1" selectLockedCells="1" selectUnlockedCells="1"/>
  <mergeCells count="5">
    <mergeCell ref="A8:B8"/>
    <mergeCell ref="A18:B18"/>
    <mergeCell ref="D18:D19"/>
    <mergeCell ref="C8:D8"/>
    <mergeCell ref="C18:C1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P43"/>
  <sheetViews>
    <sheetView showGridLines="0" zoomScale="70" zoomScaleNormal="70" zoomScaleSheetLayoutView="85" workbookViewId="0">
      <selection activeCell="S46" sqref="S46"/>
    </sheetView>
  </sheetViews>
  <sheetFormatPr baseColWidth="10" defaultRowHeight="15" x14ac:dyDescent="0.25"/>
  <cols>
    <col min="1" max="1" width="16.42578125" customWidth="1"/>
    <col min="2" max="2" width="16.7109375" customWidth="1"/>
    <col min="3" max="4" width="14.85546875" customWidth="1"/>
    <col min="5" max="11" width="13.42578125" customWidth="1"/>
    <col min="12" max="12" width="32" customWidth="1"/>
    <col min="13" max="14" width="13.42578125" customWidth="1"/>
    <col min="15" max="15" width="15.140625" customWidth="1"/>
    <col min="16" max="16" width="20.85546875" customWidth="1"/>
    <col min="17" max="17" width="13.42578125" customWidth="1"/>
  </cols>
  <sheetData>
    <row r="2" spans="1:13" ht="26.25" x14ac:dyDescent="0.25">
      <c r="A2" s="7" t="s">
        <v>199</v>
      </c>
    </row>
    <row r="3" spans="1:13" ht="18.75" x14ac:dyDescent="0.25">
      <c r="A3" s="8" t="s">
        <v>15</v>
      </c>
    </row>
    <row r="4" spans="1:13" ht="18.75" x14ac:dyDescent="0.25">
      <c r="A4" s="8" t="s">
        <v>96</v>
      </c>
    </row>
    <row r="6" spans="1:13" x14ac:dyDescent="0.25">
      <c r="A6" s="13"/>
    </row>
    <row r="7" spans="1:13" x14ac:dyDescent="0.25">
      <c r="A7" s="13"/>
      <c r="H7" s="241"/>
    </row>
    <row r="8" spans="1:13" x14ac:dyDescent="0.25"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</row>
    <row r="10" spans="1:13" ht="43.5" customHeight="1" x14ac:dyDescent="0.25">
      <c r="A10" s="473" t="s">
        <v>29</v>
      </c>
      <c r="B10" s="473"/>
      <c r="C10" s="475" t="s">
        <v>88</v>
      </c>
      <c r="D10" s="476"/>
      <c r="E10" s="476"/>
      <c r="F10" s="477"/>
      <c r="G10" s="475" t="s">
        <v>0</v>
      </c>
      <c r="H10" s="476"/>
      <c r="I10" s="476"/>
      <c r="J10" s="476"/>
      <c r="K10" s="477"/>
    </row>
    <row r="11" spans="1:13" ht="45" x14ac:dyDescent="0.25">
      <c r="A11" s="62" t="s">
        <v>51</v>
      </c>
      <c r="B11" s="62" t="s">
        <v>109</v>
      </c>
      <c r="C11" s="62" t="s">
        <v>257</v>
      </c>
      <c r="D11" s="62" t="s">
        <v>72</v>
      </c>
      <c r="E11" s="62" t="s">
        <v>61</v>
      </c>
      <c r="F11" s="139" t="s">
        <v>123</v>
      </c>
      <c r="G11" s="141" t="s">
        <v>90</v>
      </c>
      <c r="H11" s="141" t="s">
        <v>56</v>
      </c>
      <c r="I11" s="141" t="s">
        <v>58</v>
      </c>
      <c r="J11" s="141" t="s">
        <v>57</v>
      </c>
      <c r="K11" s="141" t="s">
        <v>114</v>
      </c>
      <c r="L11" s="250"/>
    </row>
    <row r="12" spans="1:13" x14ac:dyDescent="0.25">
      <c r="A12" s="64" t="str">
        <f>IF(SYNTHESE!A86="","",SYNTHESE!A86)</f>
        <v/>
      </c>
      <c r="B12" s="64" t="str">
        <f>IF(A12="","",SYNTHESE!B86)</f>
        <v/>
      </c>
      <c r="C12" s="64" t="str">
        <f>IF(A12="","",SYNTHESE!C86)</f>
        <v/>
      </c>
      <c r="D12" s="64" t="str">
        <f>IF(B12="","",SYNTHESE!D86)</f>
        <v/>
      </c>
      <c r="E12" s="65" t="str">
        <f>IF(B12="","", IF(C12="RNAS", 0, IF(C12="RNAE", D12/3, "")))</f>
        <v/>
      </c>
      <c r="F12" s="65" t="str">
        <f>IF(C12="","",IF(SYNTHESE!E86="oui","non","oui"))</f>
        <v/>
      </c>
      <c r="G12" s="232" t="str">
        <f>IF(A12="","",IF(AND(C12="RNAE",(SYNTHESE!G86+SYNTHESE!H86)&lt;0.5),"erreur",IF(AND(C12="RNAE",(SYNTHESE!G86+SYNTHESE!H86)&gt;0.5),"oui",IF(C12="RNAS","non concerné","oui"))))</f>
        <v/>
      </c>
      <c r="H12" s="65" t="str">
        <f>IF(B12="","",IF(C12="RNAE",(D12*SYNTHESE!G86)/3,IF(C12="RNAS",0,0)))</f>
        <v/>
      </c>
      <c r="I12" s="65" t="str">
        <f>IF(B12="","",IF(C12="RNAE",(D12*SYNTHESE!H86)/3,IF(C12="RNAS",0,0)))</f>
        <v/>
      </c>
      <c r="J12" s="65" t="str">
        <f>IF(B12="","",IF(C12="RNAE",E12-H12-I12,IF(C12="RNAS",0,0)))</f>
        <v/>
      </c>
      <c r="K12" s="65" t="str">
        <f>IF(B12="","",IF(C12="RNAS",'calcul RNA'!D12,"0"))</f>
        <v/>
      </c>
      <c r="L12" s="253"/>
    </row>
    <row r="13" spans="1:13" x14ac:dyDescent="0.25">
      <c r="A13" s="64" t="str">
        <f>IF(SYNTHESE!A87="","",SYNTHESE!A87)</f>
        <v/>
      </c>
      <c r="B13" s="64" t="str">
        <f>IF(A13="","",SYNTHESE!B87)</f>
        <v/>
      </c>
      <c r="C13" s="64" t="str">
        <f>IF(A13="","",SYNTHESE!C87)</f>
        <v/>
      </c>
      <c r="D13" s="64" t="str">
        <f>IF(B13="","",SYNTHESE!D87)</f>
        <v/>
      </c>
      <c r="E13" s="65" t="str">
        <f>IF(B13="","", IF(C13="RNAS", 0, IF(C13="RNAE", D13/3, "")))</f>
        <v/>
      </c>
      <c r="F13" s="65" t="str">
        <f>IF(C13="","",IF(SYNTHESE!E87="oui","non","oui"))</f>
        <v/>
      </c>
      <c r="G13" s="232" t="str">
        <f>IF(A13="","",IF(AND(C13="RNAE",(SYNTHESE!G87+SYNTHESE!H87)&lt;0.5),"erreur",IF(AND(C13="RNAE",(SYNTHESE!G87+SYNTHESE!H87)&gt;0.5),"oui",IF(C13="RNAS","non concerné","oui"))))</f>
        <v/>
      </c>
      <c r="H13" s="65" t="str">
        <f>IF(B13="","",IF(C13="RNAE",(D13*SYNTHESE!G87)/3,IF(C13="RNAS",0,0)))</f>
        <v/>
      </c>
      <c r="I13" s="65" t="str">
        <f>IF(B13="","",IF(C13="RNAE",(D13*SYNTHESE!H87)/3,IF(C13="RNAS",0,0)))</f>
        <v/>
      </c>
      <c r="J13" s="65" t="str">
        <f t="shared" ref="J13:J17" si="0">IF(B13="","",IF(C13="RNAE",E13-H13-I13,IF(C13="RNAS",0,0)))</f>
        <v/>
      </c>
      <c r="K13" s="65" t="str">
        <f>IF(B13="","",IF(C13="RNAS",'calcul RNA'!D13,"0"))</f>
        <v/>
      </c>
    </row>
    <row r="14" spans="1:13" ht="15" customHeight="1" x14ac:dyDescent="0.25">
      <c r="A14" s="64" t="str">
        <f>IF(SYNTHESE!A88="","",SYNTHESE!A88)</f>
        <v/>
      </c>
      <c r="B14" s="64" t="str">
        <f>IF(A14="","",SYNTHESE!B88)</f>
        <v/>
      </c>
      <c r="C14" s="64" t="str">
        <f>IF(A14="","",SYNTHESE!C88)</f>
        <v/>
      </c>
      <c r="D14" s="64" t="str">
        <f>IF(B14="","",SYNTHESE!D88)</f>
        <v/>
      </c>
      <c r="E14" s="65" t="str">
        <f>IF(B14="","", IF(C14="RNAS", 0, IF(C14="RNAE", D14/3, "")))</f>
        <v/>
      </c>
      <c r="F14" s="65" t="str">
        <f>IF(C14="","",IF(SYNTHESE!E88="oui","non","oui"))</f>
        <v/>
      </c>
      <c r="G14" s="232" t="str">
        <f>IF(A14="","",IF(AND(C14="RNAE",(SYNTHESE!G88+SYNTHESE!H88)&lt;0.5),"erreur",IF(AND(C14="RNAE",(SYNTHESE!G88+SYNTHESE!H88)&gt;0.5),"oui",IF(C14="RNAS","non concerné","oui"))))</f>
        <v/>
      </c>
      <c r="H14" s="65" t="str">
        <f>IF(B14="","",IF(C14="RNAE",(D14*SYNTHESE!G88)/3,IF(C14="RNAS",0,0)))</f>
        <v/>
      </c>
      <c r="I14" s="65" t="str">
        <f>IF(B14="","",IF(C14="RNAE",(D14*SYNTHESE!H88)/3,IF(C14="RNAS",0,0)))</f>
        <v/>
      </c>
      <c r="J14" s="65" t="str">
        <f t="shared" si="0"/>
        <v/>
      </c>
      <c r="K14" s="65" t="str">
        <f>IF(B14="","",IF(C14="RNAS",'calcul RNA'!D14,"0"))</f>
        <v/>
      </c>
      <c r="L14" s="242"/>
    </row>
    <row r="15" spans="1:13" x14ac:dyDescent="0.25">
      <c r="A15" s="64" t="str">
        <f>IF(SYNTHESE!A89="","",SYNTHESE!A89)</f>
        <v/>
      </c>
      <c r="B15" s="64" t="str">
        <f>IF(A15="","",SYNTHESE!B89)</f>
        <v/>
      </c>
      <c r="C15" s="64" t="str">
        <f>IF(A15="","",SYNTHESE!C89)</f>
        <v/>
      </c>
      <c r="D15" s="64" t="str">
        <f>IF(B15="","",SYNTHESE!D89)</f>
        <v/>
      </c>
      <c r="E15" s="65" t="str">
        <f>IF(B15="","", IF(C15="RNAS", 0, IF(C15="RNAE", D15/3, "")))</f>
        <v/>
      </c>
      <c r="F15" s="65" t="str">
        <f>IF(C15="","",IF(SYNTHESE!E89="oui","non","oui"))</f>
        <v/>
      </c>
      <c r="G15" s="232" t="str">
        <f>IF(A15="","",IF(AND(C15="RNAE",(SYNTHESE!G89+SYNTHESE!H89)&lt;0.5),"erreur",IF(AND(C15="RNAE",(SYNTHESE!G89+SYNTHESE!H89)&gt;0.5),"oui",IF(C15="RNAS","non concerné","oui"))))</f>
        <v/>
      </c>
      <c r="H15" s="65" t="str">
        <f>IF(B15="","",IF(C15="RNAE",(D15*SYNTHESE!G89)/3,IF(C15="RNAS",0,0)))</f>
        <v/>
      </c>
      <c r="I15" s="65" t="str">
        <f>IF(B15="","",IF(C15="RNAE",(D15*SYNTHESE!H89)/3,IF(C15="RNAS",0,0)))</f>
        <v/>
      </c>
      <c r="J15" s="65" t="str">
        <f t="shared" si="0"/>
        <v/>
      </c>
      <c r="K15" s="65" t="str">
        <f>IF(B15="","",IF(C15="RNAS",'calcul RNA'!D15,"0"))</f>
        <v/>
      </c>
      <c r="L15" s="269"/>
    </row>
    <row r="16" spans="1:13" x14ac:dyDescent="0.25">
      <c r="A16" s="64" t="str">
        <f>IF(SYNTHESE!A90="","",SYNTHESE!A90)</f>
        <v/>
      </c>
      <c r="B16" s="64"/>
      <c r="C16" s="64" t="str">
        <f>IF(A16="","",SYNTHESE!C90)</f>
        <v/>
      </c>
      <c r="D16" s="64" t="str">
        <f>IF(B16="","",SYNTHESE!D90)</f>
        <v/>
      </c>
      <c r="E16" s="307" t="str">
        <f>IF(B16="","", IF(C16="RNAS", 0, IF(C16="RNAE", D16/3, "")))</f>
        <v/>
      </c>
      <c r="F16" s="65" t="str">
        <f>IF(C16="","",IF(SYNTHESE!E90="oui","non","oui"))</f>
        <v/>
      </c>
      <c r="G16" s="232" t="str">
        <f>IF(A16="","",IF(AND(C16="RNAE",(SYNTHESE!G90+SYNTHESE!H90)&lt;0.5),"erreur",IF(AND(C16="RNAE",(SYNTHESE!G90+SYNTHESE!H90)&gt;0.5),"oui",IF(C16="RNAS","non concerné","oui"))))</f>
        <v/>
      </c>
      <c r="H16" s="65" t="str">
        <f>IF(B16="","",IF(C16="RNAE",(D16*SYNTHESE!G90)/3,IF(C16="RNAS",0,0)))</f>
        <v/>
      </c>
      <c r="I16" s="65" t="str">
        <f>IF(B16="","",IF(C16="RNAE",(D16*SYNTHESE!H90)/3,IF(C16="RNAS",0,0)))</f>
        <v/>
      </c>
      <c r="J16" s="65" t="str">
        <f>IF(B16="","",IF(C16="RNAE",E16-H16-I16,IF(C16="RNAS",0,0)))</f>
        <v/>
      </c>
      <c r="K16" s="65" t="str">
        <f>IF(B16="","",IF(C16="RNAS",'calcul RNA'!D16,"0"))</f>
        <v/>
      </c>
      <c r="L16" s="273"/>
    </row>
    <row r="17" spans="1:16" x14ac:dyDescent="0.25">
      <c r="A17" s="64" t="str">
        <f>IF(SYNTHESE!A91="","",SYNTHESE!A91)</f>
        <v/>
      </c>
      <c r="B17" s="64" t="str">
        <f>IF(A17="","",SYNTHESE!B91)</f>
        <v/>
      </c>
      <c r="C17" s="64" t="str">
        <f>IF(A17="","",SYNTHESE!C91)</f>
        <v/>
      </c>
      <c r="D17" s="64" t="str">
        <f>IF(B17="","",SYNTHESE!D91)</f>
        <v/>
      </c>
      <c r="E17" s="65" t="str">
        <f t="shared" ref="E17" si="1">IF(B17="","",D17/3)</f>
        <v/>
      </c>
      <c r="F17" s="65" t="str">
        <f>IF(C17="","",IF(SYNTHESE!E91="oui","non","oui"))</f>
        <v/>
      </c>
      <c r="G17" s="232" t="str">
        <f>IF(A17="","",IF(AND(C17="RNAE",(SYNTHESE!G91+SYNTHESE!H91)&lt;0.5),"erreur",IF(AND(C17="RNAE",(SYNTHESE!G91+SYNTHESE!H91)&gt;0.5),"oui",IF(C17="RNAS","non concerné","oui"))))</f>
        <v/>
      </c>
      <c r="H17" s="65" t="str">
        <f>IF(B17="","",IF(C17="RNAE",(D17*SYNTHESE!G91)/3,IF(C17="RNAS",0,0)))</f>
        <v/>
      </c>
      <c r="I17" s="65" t="str">
        <f>IF(B17="","",IF(C17="RNAE",(D17*SYNTHESE!H91)/3,IF(C17="RNAS",0,0)))</f>
        <v/>
      </c>
      <c r="J17" s="65" t="str">
        <f t="shared" si="0"/>
        <v/>
      </c>
      <c r="K17" s="65" t="str">
        <f>IF(B17="","",IF(C17="RNAS",'calcul RNA'!D17,"0"))</f>
        <v/>
      </c>
      <c r="L17" s="140"/>
      <c r="M17" s="140" t="str">
        <f>IF(C17="","",IF(SYNTHESE!H81="oui",Barèmes!$E$76*'calcul RNA'!E7,0))</f>
        <v/>
      </c>
      <c r="N17" s="140" t="str">
        <f>IF(C17="","",IF(SYNTHESE!I81="oui",Barèmes!$E$77*'calcul RNA'!E7,0))</f>
        <v/>
      </c>
      <c r="O17" s="140" t="str">
        <f>IF(C17="","",IF(SYNTHESE!J81="oui",Barèmes!$E$78*'calcul RNA'!E7,0))</f>
        <v/>
      </c>
    </row>
    <row r="18" spans="1:16" x14ac:dyDescent="0.25">
      <c r="A18" s="63"/>
      <c r="B18" s="63"/>
      <c r="C18" s="63"/>
      <c r="D18" s="63"/>
      <c r="F18" s="63"/>
      <c r="G18" s="63"/>
      <c r="H18" s="63"/>
      <c r="I18" s="63"/>
      <c r="J18" s="63"/>
      <c r="K18" s="63"/>
      <c r="L18" s="140"/>
      <c r="M18" s="140"/>
      <c r="N18" s="140"/>
      <c r="O18" s="140"/>
    </row>
    <row r="19" spans="1:16" x14ac:dyDescent="0.25">
      <c r="A19" s="67" t="s">
        <v>275</v>
      </c>
      <c r="B19" s="63"/>
      <c r="C19" s="257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</row>
    <row r="20" spans="1:16" x14ac:dyDescent="0.25">
      <c r="A20" s="63"/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P20" s="257"/>
    </row>
    <row r="21" spans="1:16" ht="35.450000000000003" customHeight="1" x14ac:dyDescent="0.25">
      <c r="A21" s="473" t="s">
        <v>29</v>
      </c>
      <c r="B21" s="473"/>
      <c r="C21" s="466" t="s">
        <v>130</v>
      </c>
      <c r="D21" s="466" t="s">
        <v>115</v>
      </c>
      <c r="E21" s="475" t="s">
        <v>0</v>
      </c>
      <c r="F21" s="476"/>
      <c r="G21" s="476"/>
      <c r="H21" s="476"/>
      <c r="I21" s="477"/>
      <c r="J21" s="466" t="s">
        <v>59</v>
      </c>
      <c r="K21" s="468" t="s">
        <v>117</v>
      </c>
      <c r="L21" s="468"/>
      <c r="M21" s="468"/>
      <c r="N21" s="468"/>
      <c r="O21" s="468"/>
      <c r="P21" s="142" t="s">
        <v>274</v>
      </c>
    </row>
    <row r="22" spans="1:16" ht="30" x14ac:dyDescent="0.25">
      <c r="A22" s="62" t="s">
        <v>81</v>
      </c>
      <c r="B22" s="62" t="s">
        <v>52</v>
      </c>
      <c r="C22" s="467"/>
      <c r="D22" s="467"/>
      <c r="E22" s="62" t="s">
        <v>64</v>
      </c>
      <c r="F22" s="62" t="s">
        <v>65</v>
      </c>
      <c r="G22" s="62" t="s">
        <v>66</v>
      </c>
      <c r="H22" s="62" t="s">
        <v>67</v>
      </c>
      <c r="I22" s="62" t="s">
        <v>116</v>
      </c>
      <c r="J22" s="467"/>
      <c r="K22" s="230" t="s">
        <v>171</v>
      </c>
      <c r="L22" s="323" t="s">
        <v>169</v>
      </c>
      <c r="M22" s="231" t="s">
        <v>23</v>
      </c>
      <c r="N22" s="231" t="s">
        <v>25</v>
      </c>
      <c r="O22" s="233" t="s">
        <v>118</v>
      </c>
      <c r="P22" s="143"/>
    </row>
    <row r="23" spans="1:16" x14ac:dyDescent="0.25">
      <c r="A23" s="64" t="str">
        <f t="shared" ref="A23:B23" si="2">IF(A12="","",A12)</f>
        <v/>
      </c>
      <c r="B23" s="64" t="str">
        <f t="shared" si="2"/>
        <v/>
      </c>
      <c r="C23" s="68" t="str">
        <f>IF(B23="","",IF(F12="oui",IF(C12="RNAE",Barèmes!$E$68*'calcul RNA'!D12,IF('calcul RNA'!C12="RNAS",Barèmes!$F$68*'calcul RNA'!D12,0)),0))</f>
        <v/>
      </c>
      <c r="D23" s="68" t="str">
        <f>IF(B23="","",IF(C12="RNAS",Barèmes!$F$69*'calcul RNA'!D12,0))</f>
        <v/>
      </c>
      <c r="E23" s="68" t="str">
        <f>IF(B23="","",IF(G12="oui",F23+G23+H23+I23,IF(G12="erreur","erreur",)))</f>
        <v/>
      </c>
      <c r="F23" s="68" t="str">
        <f>IF(B23="","",Barèmes!$I$71*'calcul RNA'!H12)</f>
        <v/>
      </c>
      <c r="G23" s="68" t="str">
        <f>IF(B23="","",Barèmes!$I$72*'calcul RNA'!I12)</f>
        <v/>
      </c>
      <c r="H23" s="68" t="str">
        <f>IF(B23="","",Barèmes!$I$70*'calcul RNA'!J12)</f>
        <v/>
      </c>
      <c r="I23" s="68" t="str">
        <f>IF(B23="","",IF(C12="RNAS",Barèmes!$F$73*'calcul RNA'!D12,0))</f>
        <v/>
      </c>
      <c r="J23" s="68" t="str">
        <f>IF(B23="","",IF(C12="RNAE",(Barèmes!$I$74*'calcul RNA'!D12)/3,0))</f>
        <v/>
      </c>
      <c r="K23" s="68" t="str">
        <f>IF(B23="","",IF(SYNTHESE!F86="oui",('calcul RNA'!L23)+('calcul RNA'!M23*2)+('calcul RNA'!N23*2)+('calcul RNA'!O23*2),(L23+M23+N23+O23)))</f>
        <v/>
      </c>
      <c r="L23" s="68" t="str">
        <f>IF(B23="","",IF(AND(C12="RNAE",SYNTHESE!I86="OUI"),Barèmes!$E$75*D12,IF(AND(C12="RNAE",SYNTHESE!I86="NON"),0,IF(AND(C12="RNAS",SYNTHESE!I86="NON"),0,IF(AND(C12="RNAS",SYNTHESE!I86="OUI"),"erreur","")))))</f>
        <v/>
      </c>
      <c r="M23" s="68" t="str">
        <f>IF(B23="","", IF(SYNTHESE!J86="oui",Barèmes!$I$76*D12,0))</f>
        <v/>
      </c>
      <c r="N23" s="68" t="str">
        <f>IF(B23="","", IF(SYNTHESE!K86="oui",Barèmes!$I$77*'calcul RNA'!D12,0))</f>
        <v/>
      </c>
      <c r="O23" s="68" t="str">
        <f>IF(B23="","", IF(SYNTHESE!L86="oui",Barèmes!$I$78*'calcul RNA'!D12,0))</f>
        <v/>
      </c>
      <c r="P23" s="69" t="str">
        <f>IF(B23="","",C23+D23+E23+J23+K23)</f>
        <v/>
      </c>
    </row>
    <row r="24" spans="1:16" x14ac:dyDescent="0.25">
      <c r="A24" s="64" t="str">
        <f t="shared" ref="A24:B24" si="3">IF(A13="","",A13)</f>
        <v/>
      </c>
      <c r="B24" s="64" t="str">
        <f t="shared" si="3"/>
        <v/>
      </c>
      <c r="C24" s="68" t="str">
        <f>IF(B24="","",IF(F13="oui",IF(C13="RNAE",Barèmes!$E$68*'calcul RNA'!D13,IF('calcul RNA'!C13="RNAS",Barèmes!$F$68*'calcul RNA'!D13,0)),0))</f>
        <v/>
      </c>
      <c r="D24" s="68" t="str">
        <f>IF(B24="","",IF(C13="RNAS",Barèmes!$F$69*'calcul RNA'!D13,0))</f>
        <v/>
      </c>
      <c r="E24" s="68" t="str">
        <f t="shared" ref="E24:E28" si="4">IF(B24="","",IF(G13="oui",F24+G24+H24+I24,IF(G13="erreur","erreur",)))</f>
        <v/>
      </c>
      <c r="F24" s="68" t="str">
        <f>IF(B24="","",Barèmes!$I$71*'calcul RNA'!H13)</f>
        <v/>
      </c>
      <c r="G24" s="68" t="str">
        <f>IF(B24="","",Barèmes!$I$72*'calcul RNA'!I13)</f>
        <v/>
      </c>
      <c r="H24" s="68" t="str">
        <f>IF(B24="","",Barèmes!$I$70*'calcul RNA'!J13)</f>
        <v/>
      </c>
      <c r="I24" s="68" t="str">
        <f>IF(B24="","",IF(C13="RNAS",Barèmes!$F$73*'calcul RNA'!D13,0))</f>
        <v/>
      </c>
      <c r="J24" s="68" t="str">
        <f>IF(B24="","",IF(C13="RNAE",(Barèmes!$I$74*'calcul RNA'!D13)/3,0))</f>
        <v/>
      </c>
      <c r="K24" s="68" t="str">
        <f>IF(B24="","",IF(SYNTHESE!F87="oui",('calcul RNA'!L24)+('calcul RNA'!M24*2)+('calcul RNA'!N24*2)+('calcul RNA'!O24*2),(L24+M24+N24+O24)))</f>
        <v/>
      </c>
      <c r="L24" s="68" t="str">
        <f>IF(B24="","",IF(AND(C13="RNAE",SYNTHESE!I87="OUI"),Barèmes!$E$75*D13,IF(AND(C13="RNAE",SYNTHESE!I87="NON"),0,IF(AND(C13="RNAS",SYNTHESE!I87="NON"),0,IF(AND(C13="RNAS",SYNTHESE!I87="OUI"),"erreur","")))))</f>
        <v/>
      </c>
      <c r="M24" s="68" t="str">
        <f>IF(B24="","", IF(SYNTHESE!J87="oui",Barèmes!$I$76*D13,0))</f>
        <v/>
      </c>
      <c r="N24" s="68" t="str">
        <f>IF(B24="","", IF(SYNTHESE!K87="oui",Barèmes!$I$77*'calcul RNA'!D13,0))</f>
        <v/>
      </c>
      <c r="O24" s="68" t="str">
        <f>IF(B24="","", IF(SYNTHESE!L87="oui",Barèmes!$I$78*'calcul RNA'!D13,0))</f>
        <v/>
      </c>
      <c r="P24" s="69" t="str">
        <f t="shared" ref="P24:P28" si="5">IF(B24="","",C24+D24+E24+J24+K24)</f>
        <v/>
      </c>
    </row>
    <row r="25" spans="1:16" x14ac:dyDescent="0.25">
      <c r="A25" s="64" t="str">
        <f t="shared" ref="A25:B25" si="6">IF(A14="","",A14)</f>
        <v/>
      </c>
      <c r="B25" s="64" t="str">
        <f t="shared" si="6"/>
        <v/>
      </c>
      <c r="C25" s="68" t="str">
        <f>IF(B25="","",IF(F14="oui",IF(C14="RNAE",Barèmes!$E$68*'calcul RNA'!D14,IF('calcul RNA'!C14="RNAS",Barèmes!$F$68*'calcul RNA'!D14,0)),0))</f>
        <v/>
      </c>
      <c r="D25" s="68" t="str">
        <f>IF(B25="","",IF(C14="RNAS",Barèmes!$F$69*'calcul RNA'!D14,0))</f>
        <v/>
      </c>
      <c r="E25" s="68" t="str">
        <f t="shared" si="4"/>
        <v/>
      </c>
      <c r="F25" s="68" t="str">
        <f>IF(B25="","",Barèmes!$I$71*'calcul RNA'!H14)</f>
        <v/>
      </c>
      <c r="G25" s="68" t="str">
        <f>IF(B25="","",Barèmes!$I$72*'calcul RNA'!I14)</f>
        <v/>
      </c>
      <c r="H25" s="68" t="str">
        <f>IF(B25="","",Barèmes!$I$70*'calcul RNA'!J14)</f>
        <v/>
      </c>
      <c r="I25" s="68" t="str">
        <f>IF(B25="","",IF(C14="RNAS",Barèmes!$F$73*'calcul RNA'!D14,0))</f>
        <v/>
      </c>
      <c r="J25" s="68" t="str">
        <f>IF(B25="","",IF(C14="RNAE",(Barèmes!$I$74*'calcul RNA'!D14)/3,0))</f>
        <v/>
      </c>
      <c r="K25" s="68" t="str">
        <f>IF(B25="","",IF(SYNTHESE!F88="oui",('calcul RNA'!L25)+('calcul RNA'!M25*2)+('calcul RNA'!N25*2)+('calcul RNA'!O25*2),(L25+M25+N25+O25)))</f>
        <v/>
      </c>
      <c r="L25" s="68" t="str">
        <f>IF(B25="","",IF(AND(C14="RNAE",SYNTHESE!I88="OUI"),Barèmes!$E$75*D14,IF(AND(C14="RNAE",SYNTHESE!I88="NON"),0,IF(AND(C14="RNAS",SYNTHESE!I88="NON"),0,IF(AND(C14="RNAS",SYNTHESE!I88="OUI"),"erreur","")))))</f>
        <v/>
      </c>
      <c r="M25" s="68" t="str">
        <f>IF(B25="","", IF(SYNTHESE!J88="oui",Barèmes!$I$76*D14,0))</f>
        <v/>
      </c>
      <c r="N25" s="68" t="str">
        <f>IF(B25="","", IF(SYNTHESE!K88="oui",Barèmes!$I$77*'calcul RNA'!D14,0))</f>
        <v/>
      </c>
      <c r="O25" s="68" t="str">
        <f>IF(B25="","", IF(SYNTHESE!L88="oui",Barèmes!$I$78*'calcul RNA'!D14,0))</f>
        <v/>
      </c>
      <c r="P25" s="69" t="str">
        <f t="shared" si="5"/>
        <v/>
      </c>
    </row>
    <row r="26" spans="1:16" x14ac:dyDescent="0.25">
      <c r="A26" s="64" t="str">
        <f t="shared" ref="A26:B26" si="7">IF(A15="","",A15)</f>
        <v/>
      </c>
      <c r="B26" s="64" t="str">
        <f t="shared" si="7"/>
        <v/>
      </c>
      <c r="C26" s="68" t="str">
        <f>IF(B26="","",IF(F15="oui",IF(C15="RNAE",Barèmes!$E$68*'calcul RNA'!D15,IF('calcul RNA'!C15="RNAS",Barèmes!$F$68*'calcul RNA'!D15,0)),0))</f>
        <v/>
      </c>
      <c r="D26" s="68" t="str">
        <f>IF(B26="","",IF(C15="RNAS",Barèmes!$F$69*'calcul RNA'!D15,0))</f>
        <v/>
      </c>
      <c r="E26" s="68" t="str">
        <f t="shared" si="4"/>
        <v/>
      </c>
      <c r="F26" s="68" t="str">
        <f>IF(B26="","",Barèmes!$I$71*'calcul RNA'!H15)</f>
        <v/>
      </c>
      <c r="G26" s="68" t="str">
        <f>IF(B26="","",Barèmes!$I$72*'calcul RNA'!I15)</f>
        <v/>
      </c>
      <c r="H26" s="68" t="str">
        <f>IF(B26="","",Barèmes!$I$70*'calcul RNA'!J15)</f>
        <v/>
      </c>
      <c r="I26" s="68" t="str">
        <f>IF(B26="","",IF(C15="RNAS",Barèmes!$F$73*'calcul RNA'!D15,0))</f>
        <v/>
      </c>
      <c r="J26" s="68" t="str">
        <f>IF(B26="","",IF(C15="RNAE",(Barèmes!$I$74*'calcul RNA'!D15)/3,0))</f>
        <v/>
      </c>
      <c r="K26" s="68" t="str">
        <f>IF(B26="","",IF(SYNTHESE!F89="oui",('calcul RNA'!L26)+('calcul RNA'!M26*2)+('calcul RNA'!N26*2)+('calcul RNA'!O26*2),(L26+M26+N26+O26)))</f>
        <v/>
      </c>
      <c r="L26" s="68" t="str">
        <f>IF(B26="","",IF(AND(C15="RNAE",SYNTHESE!I89="OUI"),Barèmes!$E$75*D15,IF(AND(C15="RNAE",SYNTHESE!I89="NON"),0,IF(AND(C15="RNAS",SYNTHESE!I89="NON"),0,IF(AND(C15="RNAS",SYNTHESE!I89="OUI"),"erreur","")))))</f>
        <v/>
      </c>
      <c r="M26" s="68" t="str">
        <f>IF(B26="","", IF(SYNTHESE!J89="oui",Barèmes!$I$76*D15,0))</f>
        <v/>
      </c>
      <c r="N26" s="68" t="str">
        <f>IF(B26="","", IF(SYNTHESE!K89="oui",Barèmes!$I$77*'calcul RNA'!D15,0))</f>
        <v/>
      </c>
      <c r="O26" s="68" t="str">
        <f>IF(B26="","", IF(SYNTHESE!L89="oui",Barèmes!$I$78*'calcul RNA'!D15,0))</f>
        <v/>
      </c>
      <c r="P26" s="69" t="str">
        <f t="shared" si="5"/>
        <v/>
      </c>
    </row>
    <row r="27" spans="1:16" x14ac:dyDescent="0.25">
      <c r="A27" s="64" t="str">
        <f t="shared" ref="A27:B27" si="8">IF(A16="","",A16)</f>
        <v/>
      </c>
      <c r="B27" s="64" t="str">
        <f t="shared" si="8"/>
        <v/>
      </c>
      <c r="C27" s="68" t="str">
        <f>IF(B27="","",IF(F16="oui",IF(C16="RNAE",Barèmes!$E$68*'calcul RNA'!D16,IF('calcul RNA'!C16="RNAS",Barèmes!$F$68*'calcul RNA'!D16,0)),0))</f>
        <v/>
      </c>
      <c r="D27" s="68" t="str">
        <f>IF(B27="","",IF(C16="RNAS",Barèmes!$F$69*'calcul RNA'!D16,0))</f>
        <v/>
      </c>
      <c r="E27" s="68" t="str">
        <f t="shared" si="4"/>
        <v/>
      </c>
      <c r="F27" s="68" t="str">
        <f>IF(B27="","",Barèmes!$I$71*'calcul RNA'!H16)</f>
        <v/>
      </c>
      <c r="G27" s="68" t="str">
        <f>IF(B27="","",Barèmes!$I$72*'calcul RNA'!I16)</f>
        <v/>
      </c>
      <c r="H27" s="68" t="str">
        <f>IF(B27="","",Barèmes!$I$70*'calcul RNA'!J16)</f>
        <v/>
      </c>
      <c r="I27" s="68" t="str">
        <f>IF(B27="","",IF(C16="RNAS",Barèmes!$F$73*'calcul RNA'!D16,0))</f>
        <v/>
      </c>
      <c r="J27" s="68" t="str">
        <f>IF(B27="","",IF(C16="RNAE",(Barèmes!$I$74*'calcul RNA'!D16)/3,0))</f>
        <v/>
      </c>
      <c r="K27" s="68" t="str">
        <f>IF(B27="","",IF(SYNTHESE!F90="oui",('calcul RNA'!L27)+('calcul RNA'!M27*2)+('calcul RNA'!N27*2)+('calcul RNA'!O27*2),(L27+M27+N27+O27)))</f>
        <v/>
      </c>
      <c r="L27" s="68" t="str">
        <f>IF(B27="","",IF(AND(C16="RNAE",SYNTHESE!I90="OUI"),Barèmes!$E$75*D16,IF(AND(C16="RNAE",SYNTHESE!I90="NON"),0,IF(AND(C16="RNAS",SYNTHESE!I90="NON"),0,IF(AND(C16="RNAS",SYNTHESE!I90="OUI"),"erreur","")))))</f>
        <v/>
      </c>
      <c r="M27" s="68" t="str">
        <f>IF(B27="","", IF(SYNTHESE!J90="oui",Barèmes!$I$76*D16,0))</f>
        <v/>
      </c>
      <c r="N27" s="68" t="str">
        <f>IF(B27="","", IF(SYNTHESE!K90="oui",Barèmes!$I$77*'calcul RNA'!D16,0))</f>
        <v/>
      </c>
      <c r="O27" s="68" t="str">
        <f>IF(B27="","", IF(SYNTHESE!L90="oui",Barèmes!$I$78*'calcul RNA'!D16,0))</f>
        <v/>
      </c>
      <c r="P27" s="69" t="str">
        <f t="shared" si="5"/>
        <v/>
      </c>
    </row>
    <row r="28" spans="1:16" x14ac:dyDescent="0.25">
      <c r="A28" s="64" t="str">
        <f t="shared" ref="A28:B28" si="9">IF(A17="","",A17)</f>
        <v/>
      </c>
      <c r="B28" s="64" t="str">
        <f t="shared" si="9"/>
        <v/>
      </c>
      <c r="C28" s="68" t="str">
        <f>IF(B28="","",IF(F17="oui",IF(C17="RNAE",Barèmes!$E$68*'calcul RNA'!D17,IF('calcul RNA'!C17="RNAS",Barèmes!$F$68*'calcul RNA'!D17,0)),0))</f>
        <v/>
      </c>
      <c r="D28" s="68" t="str">
        <f>IF(B28="","",IF(C17="RNAS",Barèmes!$F$69*'calcul RNA'!D17,0))</f>
        <v/>
      </c>
      <c r="E28" s="68" t="str">
        <f t="shared" si="4"/>
        <v/>
      </c>
      <c r="F28" s="68" t="str">
        <f>IF(B28="","",Barèmes!$I$71*'calcul RNA'!H17)</f>
        <v/>
      </c>
      <c r="G28" s="68" t="str">
        <f>IF(B28="","",Barèmes!$I$72*'calcul RNA'!I17)</f>
        <v/>
      </c>
      <c r="H28" s="68" t="str">
        <f>IF(B28="","",Barèmes!$I$70*'calcul RNA'!J17)</f>
        <v/>
      </c>
      <c r="I28" s="68" t="str">
        <f>IF(B28="","",IF(C17="RNAS",Barèmes!$F$73*'calcul RNA'!D17,0))</f>
        <v/>
      </c>
      <c r="J28" s="68" t="str">
        <f>IF(B28="","",IF(C17="RNAE",(Barèmes!$I$74*'calcul RNA'!D17)/3,0))</f>
        <v/>
      </c>
      <c r="K28" s="68" t="str">
        <f>IF(B28="","",IF(SYNTHESE!F91="oui",('calcul RNA'!L28)+('calcul RNA'!M28*2)+('calcul RNA'!N28*2)+('calcul RNA'!O28*2),(L28+M28+N28+O28)))</f>
        <v/>
      </c>
      <c r="L28" s="68" t="str">
        <f>IF(B28="","",IF(AND(C17="RNAE",SYNTHESE!I91="OUI"),Barèmes!$E$75*D17,IF(AND(C17="RNAE",SYNTHESE!I91="NON"),0,IF(AND(C17="RNAS",SYNTHESE!I91="NON"),0,IF(AND(C17="RNAS",SYNTHESE!I91="OUI"),"erreur","")))))</f>
        <v/>
      </c>
      <c r="M28" s="68" t="str">
        <f>IF(B28="","", IF(SYNTHESE!J91="oui",Barèmes!$I$76*D17,0))</f>
        <v/>
      </c>
      <c r="N28" s="68" t="str">
        <f>IF(B28="","", IF(SYNTHESE!K91="oui",Barèmes!$I$77*'calcul RNA'!D17,0))</f>
        <v/>
      </c>
      <c r="O28" s="68" t="str">
        <f>IF(B28="","", IF(SYNTHESE!L91="oui",Barèmes!$I$78*'calcul RNA'!D17,0))</f>
        <v/>
      </c>
      <c r="P28" s="69" t="str">
        <f t="shared" si="5"/>
        <v/>
      </c>
    </row>
    <row r="29" spans="1:16" x14ac:dyDescent="0.25">
      <c r="A29" s="63"/>
      <c r="B29" s="63"/>
      <c r="C29" s="63"/>
      <c r="G29" s="63"/>
      <c r="I29" s="63"/>
      <c r="J29" s="63"/>
      <c r="L29" s="63" t="str">
        <f>IF(ISBLANK(B24),"",IF(I87="RNAE",IF(SYNTHESE!I87="oui",Barèmes!$I$75*E13,0),IF(I87="RNAS",IF(SYNTHESE!I86="non",Barèmes!$I$75*E12,"erreur"),"")))</f>
        <v/>
      </c>
      <c r="M29" s="63"/>
      <c r="P29" s="70" t="str">
        <f>IF(B23="","",SUM(P23:P28))</f>
        <v/>
      </c>
    </row>
    <row r="30" spans="1:16" x14ac:dyDescent="0.25">
      <c r="A30" s="63"/>
      <c r="B30" s="63"/>
      <c r="C30" s="63"/>
      <c r="D30" s="63"/>
      <c r="E30" s="251"/>
      <c r="F30" s="251"/>
      <c r="G30" s="251"/>
      <c r="H30" s="251"/>
      <c r="I30" s="251"/>
      <c r="J30" s="251"/>
      <c r="K30" s="251"/>
      <c r="L30" s="251" t="str" cm="1">
        <f t="array" ref="L30">IF(C14="", "", IF(AND(C14="RNAE", SYNTHESEI89="oui"),Barèmes!$I$75*E13, IF(AND(C14="RNAS", SYNTHESEI89="non"), Barèmes!$I$75*E13,"erreur")))</f>
        <v/>
      </c>
      <c r="M30" s="63"/>
      <c r="N30" s="63"/>
    </row>
    <row r="31" spans="1:16" x14ac:dyDescent="0.25">
      <c r="A31" s="63"/>
      <c r="B31" s="63"/>
      <c r="C31" s="63"/>
      <c r="D31" s="63"/>
      <c r="E31" s="254"/>
      <c r="F31" s="63"/>
      <c r="G31" s="63"/>
      <c r="H31" s="63"/>
      <c r="I31" s="63"/>
      <c r="J31" s="63"/>
      <c r="K31" s="63"/>
      <c r="L31" s="63"/>
      <c r="M31" s="63"/>
      <c r="N31" s="63"/>
    </row>
    <row r="32" spans="1:16" x14ac:dyDescent="0.25">
      <c r="E32" s="273"/>
    </row>
    <row r="33" spans="1:7" x14ac:dyDescent="0.25">
      <c r="A33" t="s">
        <v>48</v>
      </c>
      <c r="E33" s="271"/>
    </row>
    <row r="34" spans="1:7" x14ac:dyDescent="0.25">
      <c r="A34" t="s">
        <v>112</v>
      </c>
      <c r="B34" t="s">
        <v>49</v>
      </c>
      <c r="E34" s="273"/>
    </row>
    <row r="35" spans="1:7" x14ac:dyDescent="0.25">
      <c r="A35" t="s">
        <v>113</v>
      </c>
      <c r="B35" t="s">
        <v>50</v>
      </c>
    </row>
    <row r="36" spans="1:7" x14ac:dyDescent="0.25">
      <c r="E36" s="267"/>
    </row>
    <row r="37" spans="1:7" x14ac:dyDescent="0.25">
      <c r="E37" s="273"/>
    </row>
    <row r="39" spans="1:7" x14ac:dyDescent="0.25">
      <c r="E39" s="267"/>
    </row>
    <row r="40" spans="1:7" x14ac:dyDescent="0.25">
      <c r="E40" s="273"/>
    </row>
    <row r="41" spans="1:7" x14ac:dyDescent="0.25">
      <c r="F41" s="63"/>
      <c r="G41" s="63"/>
    </row>
    <row r="42" spans="1:7" x14ac:dyDescent="0.25">
      <c r="E42" s="267"/>
    </row>
    <row r="43" spans="1:7" x14ac:dyDescent="0.25">
      <c r="E43" s="273"/>
    </row>
  </sheetData>
  <sheetProtection algorithmName="SHA-512" hashValue="kGXQcoCQDR3lZQuvVs627/itO9P7R+X+2Pd7FjodSZnEXSwEhrR5QWj2JzJHdc0mowfxDqsbnOGxz28lWC45eQ==" saltValue="5TzTDzEQwBiupqvTyrWt9A==" spinCount="100000" sheet="1" objects="1" scenarios="1" selectLockedCells="1" selectUnlockedCells="1"/>
  <mergeCells count="9">
    <mergeCell ref="K21:O21"/>
    <mergeCell ref="A21:B21"/>
    <mergeCell ref="C21:C22"/>
    <mergeCell ref="A10:B10"/>
    <mergeCell ref="D21:D22"/>
    <mergeCell ref="E21:I21"/>
    <mergeCell ref="J21:J22"/>
    <mergeCell ref="G10:K10"/>
    <mergeCell ref="C10:F10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20"/>
  <sheetViews>
    <sheetView zoomScale="70" zoomScaleNormal="70" workbookViewId="0">
      <selection activeCell="S46" sqref="S46"/>
    </sheetView>
  </sheetViews>
  <sheetFormatPr baseColWidth="10" defaultRowHeight="15" x14ac:dyDescent="0.25"/>
  <cols>
    <col min="1" max="1" width="18.140625" customWidth="1"/>
    <col min="2" max="2" width="17.85546875" customWidth="1"/>
    <col min="3" max="4" width="18.140625" customWidth="1"/>
    <col min="5" max="6" width="22.7109375" customWidth="1"/>
    <col min="7" max="7" width="43.28515625" customWidth="1"/>
  </cols>
  <sheetData>
    <row r="2" spans="1:15" ht="26.25" x14ac:dyDescent="0.25">
      <c r="A2" s="7" t="s">
        <v>199</v>
      </c>
    </row>
    <row r="3" spans="1:15" ht="18.75" x14ac:dyDescent="0.25">
      <c r="A3" s="8" t="s">
        <v>15</v>
      </c>
    </row>
    <row r="4" spans="1:15" ht="18.75" x14ac:dyDescent="0.25">
      <c r="A4" s="8" t="s">
        <v>108</v>
      </c>
    </row>
    <row r="8" spans="1:15" x14ac:dyDescent="0.25"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  <c r="N8" s="174"/>
      <c r="O8" s="174"/>
    </row>
    <row r="12" spans="1:15" ht="27" customHeight="1" x14ac:dyDescent="0.25">
      <c r="A12" s="481" t="s">
        <v>29</v>
      </c>
      <c r="B12" s="482"/>
      <c r="C12" s="483"/>
      <c r="D12" s="466" t="s">
        <v>248</v>
      </c>
      <c r="E12" s="466" t="s">
        <v>247</v>
      </c>
      <c r="F12" s="487" t="s">
        <v>274</v>
      </c>
      <c r="G12" s="257"/>
    </row>
    <row r="13" spans="1:15" ht="30" x14ac:dyDescent="0.25">
      <c r="A13" s="193" t="s">
        <v>81</v>
      </c>
      <c r="B13" s="193" t="s">
        <v>109</v>
      </c>
      <c r="C13" s="193" t="s">
        <v>246</v>
      </c>
      <c r="D13" s="467"/>
      <c r="E13" s="467"/>
      <c r="F13" s="488"/>
    </row>
    <row r="14" spans="1:15" x14ac:dyDescent="0.25">
      <c r="A14" s="64" t="str">
        <f>IF(SYNTHESE!A100="","",SYNTHESE!A100)</f>
        <v/>
      </c>
      <c r="B14" s="64" t="str">
        <f>IF(A14="","",SYNTHESE!B100)</f>
        <v/>
      </c>
      <c r="C14" s="64" t="str">
        <f>IF(A14="","",IF(AND(SYNTHESE!D100&lt;=4,SYNTHESE!D100&gt;=2),"oui","erreur"))</f>
        <v/>
      </c>
      <c r="D14" s="64" t="str">
        <f>IF(A14="","",SYNTHESE!C100*SYNTHESE!D100)</f>
        <v/>
      </c>
      <c r="E14" s="162" t="str">
        <f>IF(A14="","",IF(C14="oui",Barèmes!$E$84*'calcul BEM'!D14,"erreur"))</f>
        <v/>
      </c>
      <c r="F14" s="162" t="str">
        <f>IF(A14="","",E14+0)</f>
        <v/>
      </c>
    </row>
    <row r="15" spans="1:15" x14ac:dyDescent="0.25">
      <c r="A15" s="64" t="str">
        <f>IF(SYNTHESE!A101="","",SYNTHESE!A101)</f>
        <v/>
      </c>
      <c r="B15" s="64" t="str">
        <f>IF(A15="","",SYNTHESE!B101)</f>
        <v/>
      </c>
      <c r="C15" s="64" t="str">
        <f>IF(A15="","",IF(AND(SYNTHESE!D101&lt;=4,SYNTHESE!D101&gt;=2),"oui","erreur"))</f>
        <v/>
      </c>
      <c r="D15" s="64" t="str">
        <f>IF(A15="","",SYNTHESE!C101*SYNTHESE!D101)</f>
        <v/>
      </c>
      <c r="E15" s="162" t="str">
        <f>IF(A15="","",IF(C15="oui",Barèmes!$E$84*'calcul BEM'!D15,"erreur"))</f>
        <v/>
      </c>
      <c r="F15" s="162" t="str">
        <f t="shared" ref="F15:F19" si="0">IF(A15="","",E15+0)</f>
        <v/>
      </c>
      <c r="G15" s="269"/>
    </row>
    <row r="16" spans="1:15" x14ac:dyDescent="0.25">
      <c r="A16" s="64" t="str">
        <f>IF(SYNTHESE!A102="","",SYNTHESE!A102)</f>
        <v/>
      </c>
      <c r="B16" s="64" t="str">
        <f>IF(A16="","",SYNTHESE!B102)</f>
        <v/>
      </c>
      <c r="C16" s="64" t="str">
        <f>IF(A16="","",IF(AND(SYNTHESE!D102&lt;=4,SYNTHESE!D102&gt;=2),"oui","erreur"))</f>
        <v/>
      </c>
      <c r="D16" s="64" t="str">
        <f>IF(A16="","",SYNTHESE!C102*SYNTHESE!D102)</f>
        <v/>
      </c>
      <c r="E16" s="162" t="str">
        <f>IF(A16="","",IF(C16="oui",Barèmes!$E$84*'calcul BEM'!D16,"erreur"))</f>
        <v/>
      </c>
      <c r="F16" s="162" t="str">
        <f t="shared" si="0"/>
        <v/>
      </c>
      <c r="G16" s="273"/>
    </row>
    <row r="17" spans="1:6" x14ac:dyDescent="0.25">
      <c r="A17" s="64" t="str">
        <f>IF(SYNTHESE!A103="","",SYNTHESE!A103)</f>
        <v/>
      </c>
      <c r="B17" s="64" t="str">
        <f>IF(A17="","",SYNTHESE!B103)</f>
        <v/>
      </c>
      <c r="C17" s="64" t="str">
        <f>IF(A17="","",IF(AND(SYNTHESE!D103&lt;=4,SYNTHESE!D103&gt;=2),"oui","erreur"))</f>
        <v/>
      </c>
      <c r="D17" s="64" t="str">
        <f>IF(A17="","",SYNTHESE!C103*SYNTHESE!D103)</f>
        <v/>
      </c>
      <c r="E17" s="162" t="str">
        <f>IF(A17="","",IF(C17="oui",Barèmes!$E$84*'calcul BEM'!D17,"erreur"))</f>
        <v/>
      </c>
      <c r="F17" s="162" t="str">
        <f t="shared" si="0"/>
        <v/>
      </c>
    </row>
    <row r="18" spans="1:6" x14ac:dyDescent="0.25">
      <c r="A18" s="64" t="str">
        <f>IF(SYNTHESE!A104="","",SYNTHESE!A104)</f>
        <v/>
      </c>
      <c r="B18" s="64" t="str">
        <f>IF(A18="","",SYNTHESE!B104)</f>
        <v/>
      </c>
      <c r="C18" s="64" t="str">
        <f>IF(A18="","",IF(AND(SYNTHESE!D104&lt;=4,SYNTHESE!D104&gt;=2),"oui","erreur"))</f>
        <v/>
      </c>
      <c r="D18" s="64" t="str">
        <f>IF(A18="","",SYNTHESE!C104*SYNTHESE!D104)</f>
        <v/>
      </c>
      <c r="E18" s="162" t="str">
        <f>IF(A18="","",IF(C18="oui",Barèmes!$E$84*'calcul BEM'!D18,"erreur"))</f>
        <v/>
      </c>
      <c r="F18" s="162" t="str">
        <f t="shared" si="0"/>
        <v/>
      </c>
    </row>
    <row r="19" spans="1:6" x14ac:dyDescent="0.25">
      <c r="A19" s="64" t="str">
        <f>IF(SYNTHESE!A105="","",SYNTHESE!A105)</f>
        <v/>
      </c>
      <c r="B19" s="64" t="str">
        <f>IF(A19="","",SYNTHESE!B105)</f>
        <v/>
      </c>
      <c r="C19" s="64" t="str">
        <f>IF(A19="","",IF(AND(SYNTHESE!D105&lt;=4,SYNTHESE!D105&gt;=2),"oui","erreur"))</f>
        <v/>
      </c>
      <c r="D19" s="64" t="str">
        <f>IF(A19="","",SYNTHESE!C105*SYNTHESE!D105)</f>
        <v/>
      </c>
      <c r="E19" s="162" t="str">
        <f>IF(A19="","",IF(C19="oui",Barèmes!$E$84*'calcul BEM'!D19,"erreur"))</f>
        <v/>
      </c>
      <c r="F19" s="162" t="str">
        <f t="shared" si="0"/>
        <v/>
      </c>
    </row>
    <row r="20" spans="1:6" x14ac:dyDescent="0.25">
      <c r="F20" s="218">
        <f>SUM(F14:F19)</f>
        <v>0</v>
      </c>
    </row>
  </sheetData>
  <sheetProtection algorithmName="SHA-512" hashValue="yk9clUE9+nmSboRE+og4Q91eBr46s93T8/rMK4RqRdOIxrelgBi45eqwF6LrxUvCCeqi3ynz8xDlzj9mSudEBA==" saltValue="sOtfO/MZYCkjFMChVcFzLg==" spinCount="100000" sheet="1" formatCells="0" formatColumns="0" formatRows="0" insertColumns="0" insertRows="0" insertHyperlinks="0" deleteColumns="0" deleteRows="0" sort="0" autoFilter="0" pivotTables="0"/>
  <mergeCells count="4">
    <mergeCell ref="A12:C12"/>
    <mergeCell ref="F12:F13"/>
    <mergeCell ref="D12:D13"/>
    <mergeCell ref="E12:E13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N17"/>
  <sheetViews>
    <sheetView zoomScale="55" zoomScaleNormal="55" workbookViewId="0">
      <selection activeCell="S46" sqref="S46"/>
    </sheetView>
  </sheetViews>
  <sheetFormatPr baseColWidth="10" defaultRowHeight="15" x14ac:dyDescent="0.25"/>
  <cols>
    <col min="1" max="6" width="22.140625" customWidth="1"/>
  </cols>
  <sheetData>
    <row r="2" spans="1:14" ht="26.25" x14ac:dyDescent="0.25">
      <c r="A2" s="7" t="s">
        <v>201</v>
      </c>
    </row>
    <row r="3" spans="1:14" ht="18.75" x14ac:dyDescent="0.25">
      <c r="A3" s="185" t="s">
        <v>15</v>
      </c>
    </row>
    <row r="4" spans="1:14" ht="18.75" x14ac:dyDescent="0.25">
      <c r="A4" s="8" t="s">
        <v>159</v>
      </c>
    </row>
    <row r="8" spans="1:14" x14ac:dyDescent="0.25"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</row>
    <row r="9" spans="1:14" x14ac:dyDescent="0.25">
      <c r="A9" s="172" t="s">
        <v>29</v>
      </c>
      <c r="B9" s="173"/>
      <c r="C9" s="466" t="s">
        <v>249</v>
      </c>
      <c r="D9" s="487" t="s">
        <v>274</v>
      </c>
      <c r="E9" s="257"/>
    </row>
    <row r="10" spans="1:14" ht="30" x14ac:dyDescent="0.25">
      <c r="A10" s="193" t="s">
        <v>81</v>
      </c>
      <c r="B10" s="193" t="s">
        <v>109</v>
      </c>
      <c r="C10" s="467"/>
      <c r="D10" s="488"/>
    </row>
    <row r="11" spans="1:14" x14ac:dyDescent="0.25">
      <c r="A11" s="64" t="str">
        <f>IF(SYNTHESE!A114="","",SYNTHESE!A114)</f>
        <v/>
      </c>
      <c r="B11" s="64" t="str">
        <f>IF(SYNTHESE!B114="","",SYNTHESE!B114)</f>
        <v/>
      </c>
      <c r="C11" s="162" t="str">
        <f>IF(A11="","",SYNTHESE!C114*Barèmes!$E$92)</f>
        <v/>
      </c>
      <c r="D11" s="162" t="str">
        <f>IF(A11="","",C11)</f>
        <v/>
      </c>
      <c r="E11" s="249"/>
      <c r="F11" s="249"/>
      <c r="G11" s="249"/>
      <c r="H11" s="249"/>
      <c r="I11" s="249"/>
      <c r="J11" s="249"/>
      <c r="K11" s="249"/>
      <c r="L11" s="249"/>
      <c r="M11" s="249"/>
      <c r="N11" s="249"/>
    </row>
    <row r="12" spans="1:14" x14ac:dyDescent="0.25">
      <c r="A12" s="64" t="str">
        <f>IF(SYNTHESE!A115="","",SYNTHESE!A115)</f>
        <v/>
      </c>
      <c r="B12" s="64" t="str">
        <f>IF(SYNTHESE!B115="","",SYNTHESE!B115)</f>
        <v/>
      </c>
      <c r="C12" s="162" t="str">
        <f>IF(A12="","",SYNTHESE!C115*Barèmes!$E$92)</f>
        <v/>
      </c>
      <c r="D12" s="162" t="str">
        <f t="shared" ref="D12:D16" si="0">IF(A12="","",C12)</f>
        <v/>
      </c>
      <c r="E12" s="249"/>
      <c r="F12" s="249"/>
      <c r="G12" s="249"/>
      <c r="H12" s="249"/>
      <c r="I12" s="249"/>
      <c r="J12" s="249"/>
      <c r="K12" s="249"/>
      <c r="L12" s="249"/>
      <c r="M12" s="249"/>
      <c r="N12" s="249"/>
    </row>
    <row r="13" spans="1:14" x14ac:dyDescent="0.25">
      <c r="A13" s="64" t="str">
        <f>IF(SYNTHESE!A116="","",SYNTHESE!A116)</f>
        <v/>
      </c>
      <c r="B13" s="64" t="str">
        <f>IF(SYNTHESE!B116="","",SYNTHESE!B116)</f>
        <v/>
      </c>
      <c r="C13" s="162" t="str">
        <f>IF(A13="","",SYNTHESE!C116*Barèmes!$E$92)</f>
        <v/>
      </c>
      <c r="D13" s="162" t="str">
        <f t="shared" si="0"/>
        <v/>
      </c>
    </row>
    <row r="14" spans="1:14" x14ac:dyDescent="0.25">
      <c r="A14" s="64" t="str">
        <f>IF(SYNTHESE!A117="","",SYNTHESE!A117)</f>
        <v/>
      </c>
      <c r="B14" s="64" t="str">
        <f>IF(SYNTHESE!B117="","",SYNTHESE!B117)</f>
        <v/>
      </c>
      <c r="C14" s="162" t="str">
        <f>IF(A14="","",SYNTHESE!C117*Barèmes!$E$92)</f>
        <v/>
      </c>
      <c r="D14" s="162" t="str">
        <f t="shared" si="0"/>
        <v/>
      </c>
    </row>
    <row r="15" spans="1:14" x14ac:dyDescent="0.25">
      <c r="A15" s="64" t="str">
        <f>IF(SYNTHESE!A118="","",SYNTHESE!A118)</f>
        <v/>
      </c>
      <c r="B15" s="64" t="str">
        <f>IF(SYNTHESE!B118="","",SYNTHESE!B118)</f>
        <v/>
      </c>
      <c r="C15" s="162" t="str">
        <f>IF(A15="","",SYNTHESE!C118*Barèmes!$E$92)</f>
        <v/>
      </c>
      <c r="D15" s="162" t="str">
        <f t="shared" si="0"/>
        <v/>
      </c>
    </row>
    <row r="16" spans="1:14" x14ac:dyDescent="0.25">
      <c r="A16" s="64" t="str">
        <f>IF(SYNTHESE!A119="","",SYNTHESE!A119)</f>
        <v/>
      </c>
      <c r="B16" s="64" t="str">
        <f>IF(SYNTHESE!B119="","",SYNTHESE!B119)</f>
        <v/>
      </c>
      <c r="C16" s="162" t="str">
        <f>IF(A16="","",SYNTHESE!C119*Barèmes!$E$92)</f>
        <v/>
      </c>
      <c r="D16" s="162" t="str">
        <f t="shared" si="0"/>
        <v/>
      </c>
    </row>
    <row r="17" spans="4:4" x14ac:dyDescent="0.25">
      <c r="D17" s="218">
        <f>SUM(D11:D16)</f>
        <v>0</v>
      </c>
    </row>
  </sheetData>
  <sheetProtection sheet="1" formatCells="0" formatColumns="0" formatRows="0" insertColumns="0" insertRows="0" insertHyperlinks="0" deleteColumns="0" deleteRows="0" sort="0" autoFilter="0" pivotTables="0"/>
  <mergeCells count="2">
    <mergeCell ref="C9:C10"/>
    <mergeCell ref="D9:D1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181BBDD4739D4F9E30F642A5BC5EAF" ma:contentTypeVersion="16" ma:contentTypeDescription="Crée un document." ma:contentTypeScope="" ma:versionID="3fd0a647148891c9d274b7e68bd887c1">
  <xsd:schema xmlns:xsd="http://www.w3.org/2001/XMLSchema" xmlns:xs="http://www.w3.org/2001/XMLSchema" xmlns:p="http://schemas.microsoft.com/office/2006/metadata/properties" xmlns:ns3="f8b91ab9-58b7-41c4-a11d-1e2cfb374035" xmlns:ns4="a768c729-2414-486b-92fa-8d012d4b1a03" targetNamespace="http://schemas.microsoft.com/office/2006/metadata/properties" ma:root="true" ma:fieldsID="a6d94b213edc891633af320c95300bfd" ns3:_="" ns4:_="">
    <xsd:import namespace="f8b91ab9-58b7-41c4-a11d-1e2cfb374035"/>
    <xsd:import namespace="a768c729-2414-486b-92fa-8d012d4b1a03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b91ab9-58b7-41c4-a11d-1e2cfb37403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68c729-2414-486b-92fa-8d012d4b1a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768c729-2414-486b-92fa-8d012d4b1a03" xsi:nil="true"/>
  </documentManagement>
</p:properties>
</file>

<file path=customXml/itemProps1.xml><?xml version="1.0" encoding="utf-8"?>
<ds:datastoreItem xmlns:ds="http://schemas.openxmlformats.org/officeDocument/2006/customXml" ds:itemID="{E5DF9D36-1F8D-4E2B-8405-AE79C2BDC8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b91ab9-58b7-41c4-a11d-1e2cfb374035"/>
    <ds:schemaRef ds:uri="a768c729-2414-486b-92fa-8d012d4b1a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50010D7-225A-4BDE-A5EF-9C73D831FF9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BB0862A-01EB-4A89-A8C9-3CD70B2158BF}">
  <ds:schemaRefs>
    <ds:schemaRef ds:uri="http://purl.org/dc/terms/"/>
    <ds:schemaRef ds:uri="http://www.w3.org/XML/1998/namespace"/>
    <ds:schemaRef ds:uri="http://purl.org/dc/elements/1.1/"/>
    <ds:schemaRef ds:uri="http://schemas.microsoft.com/office/2006/documentManagement/types"/>
    <ds:schemaRef ds:uri="a768c729-2414-486b-92fa-8d012d4b1a03"/>
    <ds:schemaRef ds:uri="http://purl.org/dc/dcmitype/"/>
    <ds:schemaRef ds:uri="f8b91ab9-58b7-41c4-a11d-1e2cfb374035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2</vt:i4>
      </vt:variant>
    </vt:vector>
  </HeadingPairs>
  <TitlesOfParts>
    <vt:vector size="13" baseType="lpstr">
      <vt:lpstr>Barèmes</vt:lpstr>
      <vt:lpstr>SYNTHESE</vt:lpstr>
      <vt:lpstr>calcul haies</vt:lpstr>
      <vt:lpstr>calcul AIP</vt:lpstr>
      <vt:lpstr>calcul BOS</vt:lpstr>
      <vt:lpstr>calcul RMA</vt:lpstr>
      <vt:lpstr>calcul RNA</vt:lpstr>
      <vt:lpstr>calcul BEM</vt:lpstr>
      <vt:lpstr>calcul fascines</vt:lpstr>
      <vt:lpstr>calcul CMA</vt:lpstr>
      <vt:lpstr>calcul RMU</vt:lpstr>
      <vt:lpstr>Barèmes!Zone_d_impression</vt:lpstr>
      <vt:lpstr>SYNTHESE!Zone_d_impression</vt:lpstr>
    </vt:vector>
  </TitlesOfParts>
  <Company>Ministère de l'Agriculture et de l'Alimentation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Laetitia GHISALBERTI</dc:creator>
  <cp:lastModifiedBy>GERSANOIS Stéphanie</cp:lastModifiedBy>
  <cp:lastPrinted>2021-06-16T07:05:18Z</cp:lastPrinted>
  <dcterms:created xsi:type="dcterms:W3CDTF">2021-04-30T16:40:08Z</dcterms:created>
  <dcterms:modified xsi:type="dcterms:W3CDTF">2026-03-12T14:53:40Z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0x01010005181BBDD4739D4F9E30F642A5BC5EAF</vt:lpwstr>
  </property>
</Properties>
</file>